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Inputs" sheetId="2" state="visible" r:id="rId4"/>
    <sheet name="Results" sheetId="3" state="visible" r:id="rId5"/>
    <sheet name="Roads" sheetId="4" state="visible" r:id="rId6"/>
    <sheet name="Sources" sheetId="5" state="visible" r:id="rId7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<sst xmlns="http://schemas.openxmlformats.org/spreadsheetml/2006/main" count="469" uniqueCount="426">
  <si>
    <t xml:space="preserve">The Duvall housing model, spreadsheet edition (September 2026)</t>
  </si>
  <si>
    <t xml:space="preserve">The same arithmetic as the published model, as live formulas.</t>
  </si>
  <si>
    <t xml:space="preserve">Yellow cells are inputs (sheet Inputs, and the top of sheet Roads). Change one and every result recomputes.</t>
  </si>
  <si>
    <t xml:space="preserve">Blue cells are results. Column C says what each is, and the figure our pages print, where they print one.</t>
  </si>
  <si>
    <t xml:space="preserve">Every input is tagged: record (a published figure), literature (a standard rate), assumption (our working value and why), open (nobody publishes it).</t>
  </si>
  <si>
    <t xml:space="preserve">Source numbers in [brackets] are the ones on our pages; the full list is on the Sources sheet.</t>
  </si>
  <si>
    <t xml:space="preserve">Working analysis by residents, not the position of any agency, and not legal, planning or financial advice.</t>
  </si>
  <si>
    <t xml:space="preserve">If a number here is wrong, tell us and we will correct it in public.</t>
  </si>
  <si>
    <t xml:space="preserve">INPUTS. Change a yellow cell; every other sheet recomputes. Tag, source and note are in column C.</t>
  </si>
  <si>
    <t xml:space="preserve">target-2019-2044</t>
  </si>
  <si>
    <t xml:space="preserve">[record] [14] City of Duvall draft comprehensive plan, September 2026, Appendix A (AHBL and ECONorthwest land capacity memo, Aug 28 2024), Tables A-2 and A-4 | King County's growth target for Duvall, as the plan appendix cites it [3]</t>
  </si>
  <si>
    <t xml:space="preserve">built-ahbl</t>
  </si>
  <si>
    <t xml:space="preserve">[record] [14] City of Duvall draft comprehensive plan, September 2026, Appendix A (AHBL and ECONorthwest land capacity memo, Aug 28 2024), Tables A-2 and A-4 | 2020 to April 1 2024: 3 + 16 + 414</t>
  </si>
  <si>
    <t xml:space="preserve">built-draft-t1</t>
  </si>
  <si>
    <t xml:space="preserve">[record] [14] City of Duvall draft comprehensive plan, September 2026, Table T-1 | 2,681 (2019) to 3,189 (2023)</t>
  </si>
  <si>
    <t xml:space="preserve">built-berk</t>
  </si>
  <si>
    <t xml:space="preserve">[record] [4][15] BERK Consulting, Land Capacity Analysis for City of Duvall Proposed Rezones, Dec 3 2025, Exhibits 1, 4, 5 and 6 | 2020 to 2024: 18 + 179 + 583</t>
  </si>
  <si>
    <t xml:space="preserve">capacity-sept15</t>
  </si>
  <si>
    <t xml:space="preserve">[record] [13] City of Duvall council meeting, Sept 15 2026, city recording (staff said 939 against 890 aloud) | said aloud at the meeting; the POSTED slides say 932</t>
  </si>
  <si>
    <t xml:space="preserve">slide-target</t>
  </si>
  <si>
    <t xml:space="preserve">[record] [12] City of Duvall, 'Workshop on Duvall Municipal Code Title 14', slides, Sept 15 2026 | the slides label it '2024-2044 Target', not 2019-2044</t>
  </si>
  <si>
    <t xml:space="preserve">cap25-total</t>
  </si>
  <si>
    <t xml:space="preserve">[record] [12] City of Duvall, 'Workshop on Duvall Municipal Code Title 14', slides, Sept 15 2026 | Dec 2025: ADU 63, R4-R12 149, R20/R30 193, MU20/MU30 479, CO/OT/UT/MT 137</t>
  </si>
  <si>
    <t xml:space="preserve">cap26-total</t>
  </si>
  <si>
    <t xml:space="preserve">[record] [12] City of Duvall, 'Workshop on Duvall Municipal Code Title 14', slides, Sept 15 2026 | Aug 2026: pipeline 90, ADU 63, R4-R12 82, R20/R30 129, MU20/MU30 424, CO/OT/UT/MT 144</t>
  </si>
  <si>
    <t xml:space="preserve">cap26-r20r30</t>
  </si>
  <si>
    <t xml:space="preserve">[record] [12] City of Duvall, 'Workshop on Duvall Municipal Code Title 14', slides, Sept 15 2026</t>
  </si>
  <si>
    <t xml:space="preserve">cap26-mu</t>
  </si>
  <si>
    <t xml:space="preserve">cap26-co-ot-ut-mt</t>
  </si>
  <si>
    <t xml:space="preserve">[record] [12] City of Duvall, 'Workshop on Duvall Municipal Code Title 14', slides, Sept 15 2026 | the CO share is not broken out; in Dec 2025 CO was 107 of 137</t>
  </si>
  <si>
    <t xml:space="preserve">cap26-r4r12</t>
  </si>
  <si>
    <t xml:space="preserve">cap26-adu</t>
  </si>
  <si>
    <t xml:space="preserve">cap26-pipeline</t>
  </si>
  <si>
    <t xml:space="preserve">[record] [12] City of Duvall, 'Workshop on Duvall Municipal Code Title 14', slides, Sept 15 2026 | 54 R20, 28 R8, 8 R4</t>
  </si>
  <si>
    <t xml:space="preserve">ahbl-need-2024-2044</t>
  </si>
  <si>
    <t xml:space="preserve">[record] [14] City of Duvall draft comprehensive plan, September 2026, Appendix A (AHBL and ECONorthwest land capacity memo, Aug 28 2024), Tables A-2 and A-4 | draft plan Table A-2: adjusted net new need 2024-2044 after the 433 built</t>
  </si>
  <si>
    <t xml:space="preserve">height-r12-now</t>
  </si>
  <si>
    <t xml:space="preserve">height-r12-proposed</t>
  </si>
  <si>
    <t xml:space="preserve">height-r20-proposed</t>
  </si>
  <si>
    <t xml:space="preserve">height-r30-proposed</t>
  </si>
  <si>
    <t xml:space="preserve">ofm-units-2019</t>
  </si>
  <si>
    <t xml:space="preserve">[record] [2] Washington Office of Financial Management, April 1 postcensal housing estimates and permit series, Duvall | postcensal estimate</t>
  </si>
  <si>
    <t xml:space="preserve">ofm-units-2020</t>
  </si>
  <si>
    <t xml:space="preserve">[record] [2] Washington Office of Financial Management, April 1 postcensal housing estimates and permit series, Duvall | census count; the targets' 'baseline 2019' figure</t>
  </si>
  <si>
    <t xml:space="preserve">ofm-units-2024</t>
  </si>
  <si>
    <t xml:space="preserve">[record] [2] Washington Office of Financial Management, April 1 postcensal housing estimates and permit series, Duvall</t>
  </si>
  <si>
    <t xml:space="preserve">ofm-units-2026</t>
  </si>
  <si>
    <t xml:space="preserve">ofm-completed-2020-24</t>
  </si>
  <si>
    <t xml:space="preserve">[record] [2] Washington Office of Financial Management, April 1 postcensal housing estimates and permit series, Duvall | completions by calendar year, all types; 6 demolished</t>
  </si>
  <si>
    <t xml:space="preserve">ofm-permitted-2020-24</t>
  </si>
  <si>
    <t xml:space="preserve">[record] [2] Washington Office of Financial Management, April 1 postcensal housing estimates and permit series, Duvall | permits issued, all types</t>
  </si>
  <si>
    <t xml:space="preserve">need-lowrise</t>
  </si>
  <si>
    <t xml:space="preserve">[record] [4][15] BERK Consulting, Land Capacity Analysis for City of Duvall Proposed Rezones, Dec 3 2025, Exhibits 1, 4, 5 and 6 | 0 to 80% AMI: 141 PSH + 268 + 0 + 266</t>
  </si>
  <si>
    <t xml:space="preserve">need-moderate</t>
  </si>
  <si>
    <t xml:space="preserve">[record] [4][15] BERK Consulting, Land Capacity Analysis for City of Duvall Proposed Rezones, Dec 3 2025, Exhibits 1, 4, 5 and 6 | 80 to 120% AMI after built homes</t>
  </si>
  <si>
    <t xml:space="preserve">need-low</t>
  </si>
  <si>
    <t xml:space="preserve">[record] [4][15] BERK Consulting, Land Capacity Analysis for City of Duvall Proposed Rezones, Dec 3 2025, Exhibits 1, 4, 5 and 6 | &gt;120% AMI after built homes</t>
  </si>
  <si>
    <t xml:space="preserve">need-under30</t>
  </si>
  <si>
    <t xml:space="preserve">[record] [4][15] BERK Consulting, Land Capacity Analysis for City of Duvall Proposed Rezones, Dec 3 2025, Exhibits 1, 4, 5 and 6 | 141 PSH + 268</t>
  </si>
  <si>
    <t xml:space="preserve">cap-lowrise</t>
  </si>
  <si>
    <t xml:space="preserve">[record] [4][15] BERK Consulting, Land Capacity Analysis for City of Duvall Proposed Rezones, Dec 3 2025, Exhibits 1, 4, 5 and 6 | zones at 20+ units/acre: R20, R30, MU20, MU30, CO</t>
  </si>
  <si>
    <t xml:space="preserve">cap-moderate</t>
  </si>
  <si>
    <t xml:space="preserve">[record] [4][15] BERK Consulting, Land Capacity Analysis for City of Duvall Proposed Rezones, Dec 3 2025, Exhibits 1, 4, 5 and 6 | R12, MT, OT, UTI, ADUs</t>
  </si>
  <si>
    <t xml:space="preserve">cap-low</t>
  </si>
  <si>
    <t xml:space="preserve">[record] [4][15] BERK Consulting, Land Capacity Analysis for City of Duvall Proposed Rezones, Dec 3 2025, Exhibits 1, 4, 5 and 6 | R4, R6, R8</t>
  </si>
  <si>
    <t xml:space="preserve">ami80-4p</t>
  </si>
  <si>
    <t xml:space="preserve">[record] [5] HUD FY2026 income limits, King County (Seattle-Bellevue HUD Metro FMR Area) | HUD's 80% limit is CAPPED; true 80% of the median would be about $131,520</t>
  </si>
  <si>
    <t xml:space="preserve">ami30-4p</t>
  </si>
  <si>
    <t xml:space="preserve">[record] [5] HUD FY2026 income limits, King County (Seattle-Bellevue HUD Metro FMR Area) | HUD FY2026, 4 persons</t>
  </si>
  <si>
    <t xml:space="preserve">hud-il80-3p</t>
  </si>
  <si>
    <t xml:space="preserve">[record] [5] HUD FY2026 income limits, King County (Seattle-Bellevue HUD Metro FMR Area) | HUD FY2026, 3 persons; the model's computed 104,985 agrees within rounding</t>
  </si>
  <si>
    <t xml:space="preserve">safmr-98019-2br</t>
  </si>
  <si>
    <t xml:space="preserve">[record] (additional) HUD FY2026 Fair Market Rents and Small Area Fair Market Rents, ZIP 98019 and 98014 | HUD Small Area FMR FY2026, ZIP 98019, 2-bed, gross; down from 3,690 in FY2025. Thin apartment data: reflects rental HOUSES</t>
  </si>
  <si>
    <t xml:space="preserve">safmr-98014-2br</t>
  </si>
  <si>
    <t xml:space="preserve">[record] (additional) HUD FY2026 Fair Market Rents and Small Area Fair Market Rents, ZIP 98019 and 98014 | HUD Small Area FMR FY2026, ZIP 98014 (Carnation), 2-bed, gross</t>
  </si>
  <si>
    <t xml:space="preserve">median-4p</t>
  </si>
  <si>
    <t xml:space="preserve">[record] [5] HUD FY2026 income limits, King County (Seattle-Bellevue HUD Metro FMR Area) | HUD FY2026 median family income, King County; the 50% 4-person limit of 82,200 confirms it</t>
  </si>
  <si>
    <t xml:space="preserve">rent-new-2br</t>
  </si>
  <si>
    <t xml:space="preserve">[record] [27] Our rent survey, Sept 19 2026: Duvall Village floor plans and starting rents (duvallvillage.com/floorplans); older two-bedroom asks from listing search results ('Elevation', from $2,149; 32910 NE 195th St, $2,199) | Duvall Village, 1,617 sq ft townhome, utilities extra</t>
  </si>
  <si>
    <t xml:space="preserve">rent-new-3br</t>
  </si>
  <si>
    <t xml:space="preserve">[record] [27] Our rent survey, Sept 19 2026: Duvall Village floor plans and starting rents (duvallvillage.com/floorplans); older two-bedroom asks from listing search results ('Elevation', from $2,149; 32910 NE 195th St, $2,199) | Duvall Village, 1,733 sq ft</t>
  </si>
  <si>
    <t xml:space="preserve">rent-new-4br</t>
  </si>
  <si>
    <t xml:space="preserve">[record] [27] Our rent survey, Sept 19 2026: Duvall Village floor plans and starting rents (duvallvillage.com/floorplans); older two-bedroom asks from listing search results ('Elevation', from $2,149; 32910 NE 195th St, $2,199) | Duvall Village, low end; high end 4,394</t>
  </si>
  <si>
    <t xml:space="preserve">rent-old-2br</t>
  </si>
  <si>
    <t xml:space="preserve">[record] [27] Our rent survey, Sept 19 2026: Duvall Village floor plans and starting rents (duvallvillage.com/floorplans); older two-bedroom asks from listing search results ('Elevation', from $2,149; 32910 NE 195th St, $2,199) | older 2-bed apartments, $2,149 to $2,199 (listing search results)</t>
  </si>
  <si>
    <t xml:space="preserve">utility-allow</t>
  </si>
  <si>
    <t xml:space="preserve">[assumption] our working value | monthly utilities a tenant pays; the ceilings include utilities, so market rents get this added</t>
  </si>
  <si>
    <t xml:space="preserve">utility-allowance-2br</t>
  </si>
  <si>
    <t xml:space="preserve">[assumption] our working value | KCHA publishes no schedule on its landlord page; its 2025 energy supplement for a PSE tenant-paid 2-bed multifamily unit is $172 (energy only), so $200 all-in is plausible</t>
  </si>
  <si>
    <t xml:space="preserve">rent-house-3br</t>
  </si>
  <si>
    <t xml:space="preserve">[record] [9] Rent listings captured Sept 19 2026 (Zillow and property websites), Duvall and nearby cities, with year built from King County Assessor records | median of 5 listings $3,300-$4,500 (one $1,950 listing excluded as an outlier to check)</t>
  </si>
  <si>
    <t xml:space="preserve">rent-house-4br</t>
  </si>
  <si>
    <t xml:space="preserve">[record] [9] Rent listings captured Sept 19 2026 (Zillow and property websites), Duvall and nearby cities, with year built from King County Assessor records | median of 7 listings $3,700-$4,500</t>
  </si>
  <si>
    <t xml:space="preserve">rent-old-1br</t>
  </si>
  <si>
    <t xml:space="preserve">[record] [9] Rent listings captured Sept 19 2026 (Zillow and property websites), Duvall and nearby cities, with year built from King County Assessor records | two listings: $1,500 (450 sq ft), $1,695 (500 sq ft duplex, downtown)</t>
  </si>
  <si>
    <t xml:space="preserve">price-new-townhome</t>
  </si>
  <si>
    <t xml:space="preserve">[record] (additional) New-construction townhome sale listings, Duvall, search results read Sept 19 2026 ($729,990 to $881,389; 1,934 to 2,430 sq ft) | midpoint of $729,990 to $881,389</t>
  </si>
  <si>
    <t xml:space="preserve">sqft-townhome</t>
  </si>
  <si>
    <t xml:space="preserve">[record] (additional) New-construction townhome sale listings, Duvall, search results read Sept 19 2026 ($729,990 to $881,389; 1,934 to 2,430 sq ft) | 1,934 to 2,430</t>
  </si>
  <si>
    <t xml:space="preserve">mortgage-rate</t>
  </si>
  <si>
    <t xml:space="preserve">[assumption] our working value | 30-year fixed; near the 2026 market rate; check current</t>
  </si>
  <si>
    <t xml:space="preserve">down-payment</t>
  </si>
  <si>
    <t xml:space="preserve">[assumption] our working value | a first-time buyer's typical low down payment</t>
  </si>
  <si>
    <t xml:space="preserve">prop-tax-rate</t>
  </si>
  <si>
    <t xml:space="preserve">[record] (additional) King County Assessor, 2026 levy rates by levy code: Duvall, code 1155, $8.80155 per $1,000 | Duvall levy code 1155, 2026: $8.80155 per $1,000</t>
  </si>
  <si>
    <t xml:space="preserve">ins-hoa</t>
  </si>
  <si>
    <t xml:space="preserve">[assumption] our working value | monthly insurance plus HOA for a townhome</t>
  </si>
  <si>
    <t xml:space="preserve">nahb-cost-sf</t>
  </si>
  <si>
    <t xml:space="preserve">[record] (additional) National Association of Home Builders, Cost of Constructing a Home 2024 (Eric Lynch, Jan 20 2025) | national, single-family, 2024</t>
  </si>
  <si>
    <t xml:space="preserve">nahb-fee-share</t>
  </si>
  <si>
    <t xml:space="preserve">[record] (additional) National Association of Home Builders, Cost of Constructing a Home 2024 (Eric Lynch, Jan 20 2025) | permit 1.8% + impact 1.5%, removed and replaced by Duvall's own fees</t>
  </si>
  <si>
    <t xml:space="preserve">region-factor</t>
  </si>
  <si>
    <t xml:space="preserve">[assumption] our working value | Seattle-area building costs over NAHB's national average, set where the Duvall townhome market puts it: at 1.30 a townhome lot's residual value meets NAHB's lot benchmark (section 7b). Hard cost is then about $204/sq ft, under the $300 Seattle rowhouse quote (the high check). The weakest input: change it and rerun</t>
  </si>
  <si>
    <t xml:space="preserve">seattle-hard-sf</t>
  </si>
  <si>
    <t xml:space="preserve">[literature] (additional) Harrison Architects, Seattle rowhouse, townhouse and small apartment hard cost of about $300 a square foot plus sitework, Nov 2025 | townhouse/rowhouse/small apartment, plus sitework</t>
  </si>
  <si>
    <t xml:space="preserve">sales-tax</t>
  </si>
  <si>
    <t xml:space="preserve">[literature] (additional) Washington Department of Revenue, sales and use tax rates: Duvall combined rate 9.2% in 2026 | Duvall combined rate 2026 (6.5% state + 2.7% local)</t>
  </si>
  <si>
    <t xml:space="preserve">soft-share</t>
  </si>
  <si>
    <t xml:space="preserve">[assumption] our working value | design, engineering, legal, insurance, as share of hard cost; a common planning range is 10 to 20%</t>
  </si>
  <si>
    <t xml:space="preserve">finance-share</t>
  </si>
  <si>
    <t xml:space="preserve">[assumption] our working value | construction interest, as share of hard + soft; roughly a year of draws at 2026 construction-loan rates</t>
  </si>
  <si>
    <t xml:space="preserve">profit-sale</t>
  </si>
  <si>
    <t xml:space="preserve">[record] (additional) National Association of Home Builders, Cost of Constructing a Home 2024 (Eric Lynch, Jan 20 2025) | builder profit share of sales price, 2024 average</t>
  </si>
  <si>
    <t xml:space="preserve">profit-rent</t>
  </si>
  <si>
    <t xml:space="preserve">[assumption] our working value | return on cost a rental developer needs above the cap-rate value; investors commonly look for 10 to 15%</t>
  </si>
  <si>
    <t xml:space="preserve">fee-park-sf</t>
  </si>
  <si>
    <t xml:space="preserve">[record] (additional) City of Duvall 2026 Fee Schedule, Resolution 25-11 | per sq ft, 702 to 3,214</t>
  </si>
  <si>
    <t xml:space="preserve">fee-sewer-eru</t>
  </si>
  <si>
    <t xml:space="preserve">[record] (additional) City of Duvall 2026 Fee Schedule, Resolution 25-11</t>
  </si>
  <si>
    <t xml:space="preserve">fee-water-cic</t>
  </si>
  <si>
    <t xml:space="preserve">[record] (additional) City of Duvall 2026 Fee Schedule, Resolution 25-11 | 5/8 to 3/4 inch meter</t>
  </si>
  <si>
    <t xml:space="preserve">fee-storm-eru</t>
  </si>
  <si>
    <t xml:space="preserve">fee-traffic-sf</t>
  </si>
  <si>
    <t xml:space="preserve">[record] (additional) City of Duvall 2026 Fee Schedule, Resolution 25-11 | single-family attached/detached, 1 pm trip</t>
  </si>
  <si>
    <t xml:space="preserve">fee-spu</t>
  </si>
  <si>
    <t xml:space="preserve">fee-school</t>
  </si>
  <si>
    <t xml:space="preserve">[record] (additional) City of Duvall 2026 Fee Schedule, Resolution 25-11 | dropped to $0 for 2026</t>
  </si>
  <si>
    <t xml:space="preserve">mf-fee-factor</t>
  </si>
  <si>
    <t xml:space="preserve">[assumption] our working value | multifamily share of single-family utility and traffic fees; the schedule lists multifamily as 'contact city'</t>
  </si>
  <si>
    <t xml:space="preserve">vacancy</t>
  </si>
  <si>
    <t xml:space="preserve">[assumption] our working value | a stabilised suburban apartment vacancy</t>
  </si>
  <si>
    <t xml:space="preserve">opex</t>
  </si>
  <si>
    <t xml:space="preserve">[assumption] our working value | operating cost share of effective rent, incl. property tax; 30 to 35% is common for new suburban apartments</t>
  </si>
  <si>
    <t xml:space="preserve">cap-rate</t>
  </si>
  <si>
    <t xml:space="preserve">[assumption] our working value | the yield a buyer of a new suburban apartment building would accept</t>
  </si>
  <si>
    <t xml:space="preserve">discount</t>
  </si>
  <si>
    <t xml:space="preserve">[assumption] our working value | for present values: the tax exemption, the rent cuts</t>
  </si>
  <si>
    <t xml:space="preserve">rent-new-apt-2br</t>
  </si>
  <si>
    <t xml:space="preserve">[open] our working value | no Duvall apartment building exists; triangulated 2,600-3,100, see section 5b</t>
  </si>
  <si>
    <t xml:space="preserve">kcha-ps-2br-98019</t>
  </si>
  <si>
    <t xml:space="preserve">[record] (additional) King County Housing Authority, voucher payment standards effective Jan 1 2025: ZIP 98019 is Tier 3 | Tier 3 payment standard, 2 bed, gross (rent + utilities), 2025; tracks existing-stock market rent</t>
  </si>
  <si>
    <t xml:space="preserve">comp-tolt24-2br</t>
  </si>
  <si>
    <t xml:space="preserve">[record] [9] Rent listings captured Sept 19 2026 (Zillow and property websites), Duvall and nearby cities, with year built from King County Assessor records | Tolt 24, 31210 NE 40th St, Carnation: BUILT 2021 (King County Assessor 162507-9051), wood frame, 26,634 sq ft on one acre; the valley's newest apartments</t>
  </si>
  <si>
    <t xml:space="preserve">lot409-land-appraised</t>
  </si>
  <si>
    <t xml:space="preserve">[record] [43] King County Assessor, parcel 7299021190 (Lot 409, The Ridge at Big Rock Phase III), tax roll valued 2025 | valued year 2025; 2.09 ac; improvements $0; city-owned, exempt</t>
  </si>
  <si>
    <t xml:space="preserve">lot409-acres</t>
  </si>
  <si>
    <t xml:space="preserve">[record] [43] King County Assessor, parcel 7299021190 (Lot 409, The Ridge at Big Rock Phase III), tax roll valued 2025</t>
  </si>
  <si>
    <t xml:space="preserve">mu30-block-land-low</t>
  </si>
  <si>
    <t xml:space="preserve">[record] [43] King County parcel layer, appraised land value of the unplatted acreage in the block proposed as MU30 (parcels 2426069023, 2426069070), queried Sept 21 2026 | per acre; unplatted acreage in the block proposed as MU30, parcels 2426069023, 2426069070</t>
  </si>
  <si>
    <t xml:space="preserve">apt-units-per-acre</t>
  </si>
  <si>
    <t xml:space="preserve">[record] [44] City of Duvall draft DMC 14.15 (residential) and 14.20 (mixed use and commercial), Sept 1 2026: minimum and maximum densities | MU30 minimum density; the model's walk-up prototype</t>
  </si>
  <si>
    <t xml:space="preserve">comp-rr-lodge-2br</t>
  </si>
  <si>
    <t xml:space="preserve">[record] [9] Rent listings captured Sept 19 2026 (Zillow and property websites), Duvall and nearby cities, with year built from King County Assessor records | The Lodge at Redmond Ridge, 22433 NE Marketplace Dr, Redmond: built 2002; assessor present use APARTMENT (SUBSIDIZED), so NOT a market comparable</t>
  </si>
  <si>
    <t xml:space="preserve">comp-region-median-2br</t>
  </si>
  <si>
    <t xml:space="preserve">[record] [9] Rent listings captured Sept 19 2026 (Zillow and property websites), Duvall and nearby cities, with year built from King County Assessor records | median 'from' 2-bed price: 41 listings in 39 apartment buildings (Bothell, Kirkland, Redmond, Woodinville, Everett, Kenmore, Carnation); range $1,799 to $4,470</t>
  </si>
  <si>
    <t xml:space="preserve">comp-new-woodinville-2br</t>
  </si>
  <si>
    <t xml:space="preserve">[record] [9] Rent listings captured Sept 19 2026 (Zillow and property websites), Duvall and nearby cities, with year built from King County Assessor records | Eastrail Flats, 17500 133rd Ave NE, Woodinville (new, trail-and-transit served); Alexan Woodinville $3,362</t>
  </si>
  <si>
    <t xml:space="preserve">new-build-premium</t>
  </si>
  <si>
    <t xml:space="preserve">[assumption] our working value | new construction over existing-stock rent; Tolt 24 (built 2021) is the nearest measurement</t>
  </si>
  <si>
    <t xml:space="preserve">sqft-apt</t>
  </si>
  <si>
    <t xml:space="preserve">[assumption] our working value | a modest 2-bed walk-up apartment</t>
  </si>
  <si>
    <t xml:space="preserve">surface-stall</t>
  </si>
  <si>
    <t xml:space="preserve">[assumption] our working value | per surface parking stall, paving, drainage and lighting</t>
  </si>
  <si>
    <t xml:space="preserve">HUD household-size factors (share of the 4-person limit)</t>
  </si>
  <si>
    <t xml:space="preserve">1 persons</t>
  </si>
  <si>
    <t xml:space="preserve">[literature] HUD income-limit method [5]</t>
  </si>
  <si>
    <t xml:space="preserve">2 persons</t>
  </si>
  <si>
    <t xml:space="preserve">3 persons</t>
  </si>
  <si>
    <t xml:space="preserve">4 persons</t>
  </si>
  <si>
    <t xml:space="preserve">5 persons</t>
  </si>
  <si>
    <t xml:space="preserve">6 persons</t>
  </si>
  <si>
    <t xml:space="preserve">Constants the model carries in its code, stated here</t>
  </si>
  <si>
    <t xml:space="preserve">CO homes in the Dec 2025 'CO, OT, UT, MT' row</t>
  </si>
  <si>
    <t xml:space="preserve">[record] Sept 15 slides [12]: CO was 107 of 137</t>
  </si>
  <si>
    <t xml:space="preserve">the whole Dec 2025 'CO, OT, UT, MT' row</t>
  </si>
  <si>
    <t xml:space="preserve">[record] Sept 15 slides [12]</t>
  </si>
  <si>
    <t xml:space="preserve">pipeline homes in R20 (Aug 2026)</t>
  </si>
  <si>
    <t xml:space="preserve">[record] Sept 15 slides [12]: pipeline 90 = 54 R20, 28 R8, 8 R4</t>
  </si>
  <si>
    <t xml:space="preserve">pipeline homes in R4 to R8 (Aug 2026)</t>
  </si>
  <si>
    <t xml:space="preserve">[record] Sept 15 slides [12]: 28 R8 + 8 R4</t>
  </si>
  <si>
    <t xml:space="preserve">restricted homes in the 30-home prototype</t>
  </si>
  <si>
    <t xml:space="preserve">the model's prototype: 20% of 30</t>
  </si>
  <si>
    <t xml:space="preserve">exemption term, years</t>
  </si>
  <si>
    <t xml:space="preserve">[record] chapter 84.14 RCW: the 12-year term</t>
  </si>
  <si>
    <t xml:space="preserve">surface stalls per apartment</t>
  </si>
  <si>
    <t xml:space="preserve">the model's walk-up prototype</t>
  </si>
  <si>
    <t xml:space="preserve">HOMES BUILT SINCE 2019 (the state's series)</t>
  </si>
  <si>
    <t xml:space="preserve">homes added, 2019 to April 2026</t>
  </si>
  <si>
    <t xml:space="preserve">on the pages: 514</t>
  </si>
  <si>
    <t xml:space="preserve">share of the 890 target</t>
  </si>
  <si>
    <t xml:space="preserve"/>
  </si>
  <si>
    <t xml:space="preserve">homes a year, actual against needed</t>
  </si>
  <si>
    <t xml:space="preserve">times the pace the target asks</t>
  </si>
  <si>
    <t xml:space="preserve">THE INCOME-BAND SPLIT, OUR ESTIMATE (the consultant's method, the posted Aug 2026 rows)</t>
  </si>
  <si>
    <t xml:space="preserve">CO share of the Aug 2026 row, carried forward</t>
  </si>
  <si>
    <t xml:space="preserve">144 x 107/137</t>
  </si>
  <si>
    <t xml:space="preserve">room under 80% of median, pipeline not counted</t>
  </si>
  <si>
    <t xml:space="preserve">room under 80% of median, pipeline counted</t>
  </si>
  <si>
    <t xml:space="preserve">margin against the need, low reading</t>
  </si>
  <si>
    <t xml:space="preserve">on the pages: 10 short</t>
  </si>
  <si>
    <t xml:space="preserve">margin against the need, high reading</t>
  </si>
  <si>
    <t xml:space="preserve">on the pages: 44 over</t>
  </si>
  <si>
    <t xml:space="preserve">room at 80 to 120% of median</t>
  </si>
  <si>
    <t xml:space="preserve">against a need of 10</t>
  </si>
  <si>
    <t xml:space="preserve">room over 120% (pipeline R4 to R8)</t>
  </si>
  <si>
    <t xml:space="preserve">against a need of 0</t>
  </si>
  <si>
    <t xml:space="preserve">RENT CEILINGS for a 2-bedroom (3 persons), 30% of income, utilities included</t>
  </si>
  <si>
    <t xml:space="preserve">80% of median, 3 persons</t>
  </si>
  <si>
    <t xml:space="preserve">HUD's 80% limit (capped) x 0.90</t>
  </si>
  <si>
    <t xml:space="preserve">60% of median, 3 persons</t>
  </si>
  <si>
    <t xml:space="preserve">HUD: 60% = 1.2 x the 50% limit</t>
  </si>
  <si>
    <t xml:space="preserve">50% of median, 3 persons</t>
  </si>
  <si>
    <t xml:space="preserve">HUD: 50% = half the median</t>
  </si>
  <si>
    <t xml:space="preserve">30% of median, 3 persons</t>
  </si>
  <si>
    <t xml:space="preserve">80% ceiling, with utilities</t>
  </si>
  <si>
    <t xml:space="preserve">on the pages: about $2,625</t>
  </si>
  <si>
    <t xml:space="preserve">60% ceiling, with utilities</t>
  </si>
  <si>
    <t xml:space="preserve">50% ceiling, with utilities</t>
  </si>
  <si>
    <t xml:space="preserve">30% ceiling, with utilities</t>
  </si>
  <si>
    <t xml:space="preserve">on the pages: about $1,109</t>
  </si>
  <si>
    <t xml:space="preserve">80% ceiling, net of utilities</t>
  </si>
  <si>
    <t xml:space="preserve">on the pages: about $2,425</t>
  </si>
  <si>
    <t xml:space="preserve">60% ceiling, net of utilities</t>
  </si>
  <si>
    <t xml:space="preserve">50% ceiling, net of utilities</t>
  </si>
  <si>
    <t xml:space="preserve">30% ceiling, net of utilities</t>
  </si>
  <si>
    <t xml:space="preserve">WHAT A NEW 2-BED WALK-UP APARTMENT COSTS (30 an acre, surface parked)</t>
  </si>
  <si>
    <t xml:space="preserve">hard cost a square foot</t>
  </si>
  <si>
    <t xml:space="preserve">NAHB national, less its fee share, x the regional factor</t>
  </si>
  <si>
    <t xml:space="preserve">hard cost, with sales tax</t>
  </si>
  <si>
    <t xml:space="preserve">parking</t>
  </si>
  <si>
    <t xml:space="preserve">soft costs</t>
  </si>
  <si>
    <t xml:space="preserve">park impact fee</t>
  </si>
  <si>
    <t xml:space="preserve">transportation impact fee (multifamily)</t>
  </si>
  <si>
    <t xml:space="preserve">utility connection charges (multifamily)</t>
  </si>
  <si>
    <t xml:space="preserve">city fees, one apartment</t>
  </si>
  <si>
    <t xml:space="preserve">on the pages: about $33,000</t>
  </si>
  <si>
    <t xml:space="preserve">construction finance</t>
  </si>
  <si>
    <t xml:space="preserve">cost per apartment, before land and profit</t>
  </si>
  <si>
    <t xml:space="preserve">building value per $1 of monthly rent, 30 homes</t>
  </si>
  <si>
    <t xml:space="preserve">rent x 12, less vacancy and operating cost, capitalised</t>
  </si>
  <si>
    <t xml:space="preserve">rent a new 2-bed needs, land free</t>
  </si>
  <si>
    <t xml:space="preserve">on the pages: about $2,300</t>
  </si>
  <si>
    <t xml:space="preserve">rent a new 2-bed needs, land at $250,000 an acre</t>
  </si>
  <si>
    <t xml:space="preserve">rent a new 2-bed needs, land at $500,000 an acre</t>
  </si>
  <si>
    <t xml:space="preserve">THE HEARING SIMULATED: 30 homes, 6 restricted, a 12-year exemption, market = Tolt 24</t>
  </si>
  <si>
    <t xml:space="preserve">value today of $1 a year for 12 years</t>
  </si>
  <si>
    <t xml:space="preserve">at the discount rate</t>
  </si>
  <si>
    <t xml:space="preserve">the building's improvement value</t>
  </si>
  <si>
    <t xml:space="preserve">public cost of the 12-year exemption, today's dollars</t>
  </si>
  <si>
    <t xml:space="preserve">public cost of waiving fees on the 6 homes</t>
  </si>
  <si>
    <t xml:space="preserve">80%: restricted rent against market (+ = below market)</t>
  </si>
  <si>
    <t xml:space="preserve">negative: the ceiling is above market and binds on nothing</t>
  </si>
  <si>
    <t xml:space="preserve">60%: rent cut a month</t>
  </si>
  <si>
    <t xml:space="preserve">on the pages: $177</t>
  </si>
  <si>
    <t xml:space="preserve">50%: rent cut a month</t>
  </si>
  <si>
    <t xml:space="preserve">on the pages: $546</t>
  </si>
  <si>
    <t xml:space="preserve">80%: rent cut per public dollar, exemption</t>
  </si>
  <si>
    <t xml:space="preserve">60%: rent cut per public dollar, exemption</t>
  </si>
  <si>
    <t xml:space="preserve">on the pages: $0.26</t>
  </si>
  <si>
    <t xml:space="preserve">50%: rent cut per public dollar, exemption</t>
  </si>
  <si>
    <t xml:space="preserve">on the pages: $0.81</t>
  </si>
  <si>
    <t xml:space="preserve">60%: rent cut per public dollar, fee waiver</t>
  </si>
  <si>
    <t xml:space="preserve">on the pages: $0.51</t>
  </si>
  <si>
    <t xml:space="preserve">50%: rent cut per public dollar, fee waiver</t>
  </si>
  <si>
    <t xml:space="preserve">on the pages: $1.57</t>
  </si>
  <si>
    <t xml:space="preserve">WHAT THE PUBLIC ALREADY OWNS, per restricted apartment</t>
  </si>
  <si>
    <t xml:space="preserve">land at Lot 409's appraisal, per apartment</t>
  </si>
  <si>
    <t xml:space="preserve">on the pages: about $48,700</t>
  </si>
  <si>
    <t xml:space="preserve">of the fees: park + transportation impact</t>
  </si>
  <si>
    <t xml:space="preserve">about $14,400</t>
  </si>
  <si>
    <t xml:space="preserve">the 80% the Sept 8 memo says needs no backfill</t>
  </si>
  <si>
    <t xml:space="preserve">about $11,500</t>
  </si>
  <si>
    <t xml:space="preserve">of the fees: utility connections (must be funded)</t>
  </si>
  <si>
    <t xml:space="preserve">about $18,800</t>
  </si>
  <si>
    <t xml:space="preserve">12-year exemption, per restricted home</t>
  </si>
  <si>
    <t xml:space="preserve">on the pages: about $64,000</t>
  </si>
  <si>
    <t xml:space="preserve">total the public can put behind one home</t>
  </si>
  <si>
    <t xml:space="preserve">on the pages: about $146,000</t>
  </si>
  <si>
    <t xml:space="preserve">fees plus exemption, without the land</t>
  </si>
  <si>
    <t xml:space="preserve">on the pages: about $97,000</t>
  </si>
  <si>
    <t xml:space="preserve">cost of a 30%-of-median rent for 12 years</t>
  </si>
  <si>
    <t xml:space="preserve">on the pages: about $123,000</t>
  </si>
  <si>
    <t xml:space="preserve">cost of a 50%-of-median rent for 12 years</t>
  </si>
  <si>
    <t xml:space="preserve">land value an acre that closes the 30% gap</t>
  </si>
  <si>
    <t xml:space="preserve">on the pages: about $760,000</t>
  </si>
  <si>
    <t xml:space="preserve">Lot 409's appraisal an acre, against that</t>
  </si>
  <si>
    <t xml:space="preserve">on the pages: about twice</t>
  </si>
  <si>
    <t xml:space="preserve">ROADS AND PARKING SKETCH. Yellow cells are inputs; our estimate, not a traffic study.</t>
  </si>
  <si>
    <t xml:space="preserve">new-units-lowrise</t>
  </si>
  <si>
    <t xml:space="preserve">[record] BERK Dec 3 2025, Exhibits 5 and 6 [15]: capacity in zones at 20+ homes an acre (booked as 0-80% AMI)</t>
  </si>
  <si>
    <t xml:space="preserve">new-units-moderate</t>
  </si>
  <si>
    <t xml:space="preserve">[record] BERK Dec 3 2025 [15]: 80-120% AMI zones</t>
  </si>
  <si>
    <t xml:space="preserve">new-units-low</t>
  </si>
  <si>
    <t xml:space="preserve">[record] BERK Dec 3 2025 [15]: over 120% AMI zones</t>
  </si>
  <si>
    <t xml:space="preserve">am-trips-per-apartment</t>
  </si>
  <si>
    <t xml:space="preserve">[literature] ITE Trip Generation, multifamily low-rise, AM peak hour, order of magnitude</t>
  </si>
  <si>
    <t xml:space="preserve">am-trips-per-house</t>
  </si>
  <si>
    <t xml:space="preserve">[literature] ITE Trip Generation, single-family, AM peak hour, order of magnitude</t>
  </si>
  <si>
    <t xml:space="preserve">parking-per-apartment</t>
  </si>
  <si>
    <t xml:space="preserve">[literature] ITE Parking Generation, suburban multifamily, order of magnitude; the city's parking INVENTORY is not public</t>
  </si>
  <si>
    <t xml:space="preserve">parking-per-house</t>
  </si>
  <si>
    <t xml:space="preserve">[literature] ITE Parking Generation, single-family, order of magnitude</t>
  </si>
  <si>
    <t xml:space="preserve">required-spaces-per-unit-low</t>
  </si>
  <si>
    <t xml:space="preserve">[literature] a hypothetical: the 2025 state cap on parking minimums (SB 5184, Laws of 2025 ch. 204) [F] applies only to cities over 30,000; Duvall is not one</t>
  </si>
  <si>
    <t xml:space="preserve">required-spaces-per-unit-high</t>
  </si>
  <si>
    <t xml:space="preserve">[literature] a conventional suburban minimum for apartments</t>
  </si>
  <si>
    <t xml:space="preserve">entry-count</t>
  </si>
  <si>
    <t xml:space="preserve">[record] the town's road entries: SR 203 north, SR 203 south, Woodinville-Duvall Road</t>
  </si>
  <si>
    <t xml:space="preserve">entry-am-peak-capacity-vph</t>
  </si>
  <si>
    <t xml:space="preserve">[literature] two-lane highway, one direction, near the LOS D threshold (Highway Capacity Manual); in-town intersections govern before this</t>
  </si>
  <si>
    <t xml:space="preserve">entry-am-peak-existing-vph</t>
  </si>
  <si>
    <t xml:space="preserve">[assumption] WSDOT 2025 AADT [E]: SR 203 south of NE 124th 9,100, north at Cherry Valley Rd 9,200; peak share K = 0.10, peak direction D = 0.60 gives about 550, rounded up; Woodinville-Duvall Rd is a county road with no count here, assumed similar</t>
  </si>
  <si>
    <t xml:space="preserve">outbound-share</t>
  </si>
  <si>
    <t xml:space="preserve">[literature] share of morning trips leaving town; 92% of working residents work outside the city (Housing Needs Assessment [C]), less school and errand trips</t>
  </si>
  <si>
    <t xml:space="preserve">flood-closure-days-per-year</t>
  </si>
  <si>
    <t xml:space="preserve">[record] Dec 9 to 12 2025: SR 203 closed north of town about three days; Duvall and Carnation cut off Dec 11 (Snoqualmie Valley Record [D])</t>
  </si>
  <si>
    <t xml:space="preserve">in-commuters</t>
  </si>
  <si>
    <t xml:space="preserve">[record] draft comprehensive plan, Sept 2026 [14]: 'over 1,000 commuters traveling to Duvall'</t>
  </si>
  <si>
    <t xml:space="preserve">workers-per-household</t>
  </si>
  <si>
    <t xml:space="preserve">[assumption] working adults per new household; a suburban order of magnitude</t>
  </si>
  <si>
    <t xml:space="preserve">RESULTS</t>
  </si>
  <si>
    <t xml:space="preserve">apartments in the showing</t>
  </si>
  <si>
    <t xml:space="preserve">other homes in the showing</t>
  </si>
  <si>
    <t xml:space="preserve">added morning peak trips</t>
  </si>
  <si>
    <t xml:space="preserve">on the pages: about 490</t>
  </si>
  <si>
    <t xml:space="preserve">outbound trips per entry, an hour</t>
  </si>
  <si>
    <t xml:space="preserve">share of each entry's headroom used</t>
  </si>
  <si>
    <t xml:space="preserve">on the pages: about a quarter</t>
  </si>
  <si>
    <t xml:space="preserve">parking spaces demanded</t>
  </si>
  <si>
    <t xml:space="preserve">on the pages: about 1,500</t>
  </si>
  <si>
    <t xml:space="preserve">cars to the street if only 0.5 a home were built</t>
  </si>
  <si>
    <t xml:space="preserve">on the pages: about 600</t>
  </si>
  <si>
    <t xml:space="preserve">surface lot share of an acre at 1.5 a home</t>
  </si>
  <si>
    <t xml:space="preserve">on the pages: a third</t>
  </si>
  <si>
    <t xml:space="preserve">growth in out-commuting workers</t>
  </si>
  <si>
    <t xml:space="preserve">SOURCES (number on our pages, citation, where to find it)</t>
  </si>
  <si>
    <t xml:space="preserve">ahbl [14]</t>
  </si>
  <si>
    <t xml:space="preserve">City of Duvall draft comprehensive plan, September 2026, Appendix A (AHBL and ECONorthwest land capacity memo, Aug 28 2024), Tables A-2 and A-4</t>
  </si>
  <si>
    <t xml:space="preserve">https://www.duvallwa.gov/DocumentCenter/View/15674</t>
  </si>
  <si>
    <t xml:space="preserve">berk [4][15]</t>
  </si>
  <si>
    <t xml:space="preserve">BERK Consulting, Land Capacity Analysis for City of Duvall Proposed Rezones, Dec 3 2025, Exhibits 1, 4, 5 and 6</t>
  </si>
  <si>
    <t xml:space="preserve">https://www.duvallwa.gov/DocumentCenter/View/15116</t>
  </si>
  <si>
    <t xml:space="preserve">draft-t1 [14]</t>
  </si>
  <si>
    <t xml:space="preserve">City of Duvall draft comprehensive plan, September 2026, Table T-1</t>
  </si>
  <si>
    <t xml:space="preserve">cc0915 [13]</t>
  </si>
  <si>
    <t xml:space="preserve">City of Duvall council meeting, Sept 15 2026, city recording (staff said 939 against 890 aloud)</t>
  </si>
  <si>
    <t xml:space="preserve">https://www.youtube.com/watch?v=Mdt37WZJydk</t>
  </si>
  <si>
    <t xml:space="preserve">slides15 [12]</t>
  </si>
  <si>
    <t xml:space="preserve">City of Duvall, 'Workshop on Duvall Municipal Code Title 14', slides, Sept 15 2026</t>
  </si>
  <si>
    <t xml:space="preserve">https://www.duvallwa.gov/DocumentCenter/View/15690</t>
  </si>
  <si>
    <t xml:space="preserve">cc0106 [1][29]</t>
  </si>
  <si>
    <t xml:space="preserve">City of Duvall council meeting, Jan 6 2026, city recording</t>
  </si>
  <si>
    <t xml:space="preserve">https://www.youtube.com/watch?v=1O2bsZl8u6U</t>
  </si>
  <si>
    <t xml:space="preserve">cc0901 [19]</t>
  </si>
  <si>
    <t xml:space="preserve">City of Duvall council meeting, Sept 1 2026, city recording (0:20 and 0:23)</t>
  </si>
  <si>
    <t xml:space="preserve">https://www.youtube.com/watch?v=g9iVGb68UNs</t>
  </si>
  <si>
    <t xml:space="preserve">hud26 [5]</t>
  </si>
  <si>
    <t xml:space="preserve">HUD FY2026 income limits, King County (Seattle-Bellevue HUD Metro FMR Area)</t>
  </si>
  <si>
    <t xml:space="preserve">https://www.huduser.gov/portal/datasets/il.html</t>
  </si>
  <si>
    <t xml:space="preserve">hudfmr (additional)</t>
  </si>
  <si>
    <t xml:space="preserve">HUD FY2026 Fair Market Rents and Small Area Fair Market Rents, ZIP 98019 and 98014</t>
  </si>
  <si>
    <t xml:space="preserve">https://www.huduser.gov/portal/datasets/fmr.html</t>
  </si>
  <si>
    <t xml:space="preserve">survey [27]</t>
  </si>
  <si>
    <t xml:space="preserve">Our rent survey, Sept 19 2026: Duvall Village floor plans and starting rents (duvallvillage.com/floorplans); older two-bedroom asks from listing search results ('Elevation', from $2,149; 32910 NE 195th St, $2,199)</t>
  </si>
  <si>
    <t xml:space="preserve">https://duvallvillage.com/floorplans</t>
  </si>
  <si>
    <t xml:space="preserve">rentlist [9]</t>
  </si>
  <si>
    <t xml:space="preserve">Rent listings captured Sept 19 2026 (Zillow and property websites), Duvall and nearby cities, with year built from King County Assessor records</t>
  </si>
  <si>
    <t xml:space="preserve">https://www.zillow.com/apartments/carnation-wa/tolt-24/9VSmVs/</t>
  </si>
  <si>
    <t xml:space="preserve">salelist (additional)</t>
  </si>
  <si>
    <t xml:space="preserve">New-construction townhome sale listings, Duvall, search results read Sept 19 2026 ($729,990 to $881,389; 1,934 to 2,430 sq ft)</t>
  </si>
  <si>
    <t xml:space="preserve">no stable link: a new-construction for-sale search for Duvall, WA on the major listing sites</t>
  </si>
  <si>
    <t xml:space="preserve">fees26 (additional)</t>
  </si>
  <si>
    <t xml:space="preserve">City of Duvall 2026 Fee Schedule, Resolution 25-11</t>
  </si>
  <si>
    <t xml:space="preserve">https://www.duvallwa.gov/DocumentCenter (the city's Document Center; search 'fee schedule')</t>
  </si>
  <si>
    <t xml:space="preserve">nahb24 (additional)</t>
  </si>
  <si>
    <t xml:space="preserve">National Association of Home Builders, Cost of Constructing a Home 2024 (Eric Lynch, Jan 20 2025)</t>
  </si>
  <si>
    <t xml:space="preserve">https://www.nahb.org/news-and-economics/housing-economics (NAHB housing economics, special studies)</t>
  </si>
  <si>
    <t xml:space="preserve">harrison (additional)</t>
  </si>
  <si>
    <t xml:space="preserve">Harrison Architects, Seattle rowhouse, townhouse and small apartment hard cost of about $300 a square foot plus sitework, Nov 2025</t>
  </si>
  <si>
    <t xml:space="preserve">https://harrisonarchitects.com/how-much-will-it-cost/</t>
  </si>
  <si>
    <t xml:space="preserve">levy26 (additional)</t>
  </si>
  <si>
    <t xml:space="preserve">King County Assessor, 2026 levy rates by levy code: Duvall, code 1155, $8.80155 per $1,000</t>
  </si>
  <si>
    <t xml:space="preserve">https://kingcounty.gov/en/dept/assessor/buildings-and-property/property-value-and-information/reports/levy-rate-reports/taxing-districts-codes-and-levies</t>
  </si>
  <si>
    <t xml:space="preserve">salestax (additional)</t>
  </si>
  <si>
    <t xml:space="preserve">Washington Department of Revenue, sales and use tax rates: Duvall combined rate 9.2% in 2026</t>
  </si>
  <si>
    <t xml:space="preserve">https://dor.wa.gov/taxes-rates/sales-use-tax-rates</t>
  </si>
  <si>
    <t xml:space="preserve">rcw [20][22][23][24][26]</t>
  </si>
  <si>
    <t xml:space="preserve">Revised Code of Washington: RCW 36.70A.540; chapter 84.14; RCW 82.02.060; RCW 39.33.015; RCW 82.14.530</t>
  </si>
  <si>
    <t xml:space="preserve">https://app.leg.wa.gov/RCW/</t>
  </si>
  <si>
    <t xml:space="preserve">d1415 [44]</t>
  </si>
  <si>
    <t xml:space="preserve">City of Duvall draft DMC 14.15 (residential) and 14.20 (mixed use and commercial), Sept 1 2026: minimum and maximum densities</t>
  </si>
  <si>
    <t xml:space="preserve">https://www.duvallwa.gov/DocumentCenter/View/15653 and https://www.duvallwa.gov/DocumentCenter/View/15654</t>
  </si>
  <si>
    <t xml:space="preserve">ofm [2]</t>
  </si>
  <si>
    <t xml:space="preserve">Washington Office of Financial Management, April 1 postcensal housing estimates and permit series, Duvall</t>
  </si>
  <si>
    <t xml:space="preserve">https://ofm.wa.gov/washington-data-research/population-demographics/population-estimates/april-1-official-population-estimates</t>
  </si>
  <si>
    <t xml:space="preserve">kcha (additional)</t>
  </si>
  <si>
    <t xml:space="preserve">King County Housing Authority, voucher payment standards effective Jan 1 2025: ZIP 98019 is Tier 3</t>
  </si>
  <si>
    <t xml:space="preserve">https://www.kcha.org/landlords/payment-standards</t>
  </si>
  <si>
    <t xml:space="preserve">gmhb-mi [10]</t>
  </si>
  <si>
    <t xml:space="preserve">Growth Management Hearings Board case 25-3-0003 (Futurewise and residents v. Mercer Island), Final Decision and Order, Aug 1 2025</t>
  </si>
  <si>
    <t xml:space="preserve">https://letstalk.mercergov.org/comprehensive-plan-gma-compliance</t>
  </si>
  <si>
    <t xml:space="preserve">hap [25]</t>
  </si>
  <si>
    <t xml:space="preserve">City of Duvall Housing Action Plan, adopted Sept 19 2023, Actions I.1 and I.8</t>
  </si>
  <si>
    <t xml:space="preserve">https://www.duvallwa.gov/DocumentCenter/View/10360</t>
  </si>
  <si>
    <t xml:space="preserve">jlarc [28]</t>
  </si>
  <si>
    <t xml:space="preserve">Washington Joint Legislative Audit and Review Committee, Multifamily Tax Exemption review, 2019</t>
  </si>
  <si>
    <t xml:space="preserve">https://leg.wa.gov/jlarc/taxReports/2019/MFTE/p_a/default.html</t>
  </si>
  <si>
    <t xml:space="preserve">gmpc [32][33]</t>
  </si>
  <si>
    <t xml:space="preserve">King County Growth Management Planning Council, Motion 25-3 and staff report, Nov 19 2025; membership page</t>
  </si>
  <si>
    <t xml:space="preserve">https://kingcounty.gov/en/dept/executive/governance-leadership/performance-strategy-budget/regional-planning/gmpc</t>
  </si>
  <si>
    <t xml:space="preserve">kca409 [43]</t>
  </si>
  <si>
    <t xml:space="preserve">King County Assessor, parcel 7299021190 (Lot 409, The Ridge at Big Rock Phase III), tax roll valued 2025</t>
  </si>
  <si>
    <t xml:space="preserve">https://blue.kingcounty.com/Assessor/eRealProperty/Detail.aspx?ParcelNbr=7299021190</t>
  </si>
  <si>
    <t xml:space="preserve">kcgis [43]</t>
  </si>
  <si>
    <t xml:space="preserve">King County parcel layer, appraised land value of the unplatted acreage in the block proposed as MU30 (parcels 2426069023, 2426069070), queried Sept 21 2026</t>
  </si>
  <si>
    <t xml:space="preserve">https://gismaps.kingcounty.gov/parcelviewer2/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</si>
</sst>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"/>
    <numFmt numFmtId="166" formatCode="0%"/>
    <numFmt numFmtId="167" formatCode="0.00"/>
    <numFmt numFmtId="168" formatCode="[$$]#,##0"/>
    <numFmt numFmtId="169" formatCode="[$$]#,##0.00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  <font>
      <sz val="10"/>
      <color rgb="FF55555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2A8"/>
        <bgColor rgb="FFFFFFCC"/>
      </patternFill>
    </fill>
    <fill>
      <patternFill patternType="solid">
        <fgColor rgb="FFDCEBFA"/>
        <bgColor rgb="FFCC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CEBFA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A8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4.11"/>
    <col collapsed="false" customWidth="true" hidden="false" outlineLevel="0" max="2" min="2" style="0" width="16.86"/>
    <col collapsed="false" customWidth="true" hidden="false" outlineLevel="0" max="3" min="3" style="0" width="77.84"/>
  </cols>
  <sheetData>
    <row r="1" customFormat="false" ht="12.8" hidden="false" customHeight="false" outlineLevel="0" collapsed="false">
      <c r="A1" s="1" t="s">
        <v>0</v>
      </c>
    </row>
    <row r="2" customFormat="false" ht="12.8" hidden="false" customHeight="false" outlineLevel="0" collapsed="false">
      <c r="A2" s="1" t="s">
        <v>1</v>
      </c>
    </row>
    <row r="3" customFormat="false" ht="12.8" hidden="false" customHeight="false" outlineLevel="0" collapsed="false">
      <c r="A3" s="1" t="s">
        <v>2</v>
      </c>
    </row>
    <row r="4" customFormat="false" ht="12.8" hidden="false" customHeight="false" outlineLevel="0" collapsed="false">
      <c r="A4" s="1" t="s">
        <v>3</v>
      </c>
    </row>
    <row r="5" customFormat="false" ht="12.8" hidden="false" customHeight="false" outlineLevel="0" collapsed="false">
      <c r="A5" s="1" t="s">
        <v>4</v>
      </c>
    </row>
    <row r="6" customFormat="false" ht="12.8" hidden="false" customHeight="false" outlineLevel="0" collapsed="false">
      <c r="A6" s="1" t="s">
        <v>5</v>
      </c>
    </row>
    <row r="7" customFormat="false" ht="12.8" hidden="false" customHeight="false" outlineLevel="0" collapsed="false">
      <c r="A7" s="1" t="s">
        <v>6</v>
      </c>
    </row>
    <row r="8" customFormat="false" ht="12.8" hidden="false" customHeight="false" outlineLevel="0" collapsed="false">
      <c r="A8" s="1" t="s">
        <v>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0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4.11"/>
    <col collapsed="false" customWidth="true" hidden="false" outlineLevel="0" max="2" min="2" style="0" width="16.86"/>
    <col collapsed="false" customWidth="true" hidden="false" outlineLevel="0" max="3" min="3" style="0" width="77.84"/>
  </cols>
  <sheetData>
    <row r="1" customFormat="false" ht="12.8" hidden="false" customHeight="false" outlineLevel="0" collapsed="false">
      <c r="A1" s="1" t="s">
        <v>8</v>
      </c>
    </row>
    <row r="2" customFormat="false" ht="12.8" hidden="false" customHeight="false" outlineLevel="0" collapsed="false">
      <c r="A2" s="0" t="s">
        <v>9</v>
      </c>
      <c r="B2" s="2" t="n">
        <v>890</v>
      </c>
      <c r="C2" s="3" t="s">
        <v>10</v>
      </c>
    </row>
    <row r="3" customFormat="false" ht="12.8" hidden="false" customHeight="false" outlineLevel="0" collapsed="false">
      <c r="A3" s="0" t="s">
        <v>11</v>
      </c>
      <c r="B3" s="2" t="n">
        <v>433</v>
      </c>
      <c r="C3" s="3" t="s">
        <v>12</v>
      </c>
    </row>
    <row r="4" customFormat="false" ht="12.8" hidden="false" customHeight="false" outlineLevel="0" collapsed="false">
      <c r="A4" s="0" t="s">
        <v>13</v>
      </c>
      <c r="B4" s="2" t="n">
        <v>508</v>
      </c>
      <c r="C4" s="3" t="s">
        <v>14</v>
      </c>
    </row>
    <row r="5" customFormat="false" ht="12.8" hidden="false" customHeight="false" outlineLevel="0" collapsed="false">
      <c r="A5" s="0" t="s">
        <v>15</v>
      </c>
      <c r="B5" s="2" t="n">
        <v>780</v>
      </c>
      <c r="C5" s="3" t="s">
        <v>16</v>
      </c>
    </row>
    <row r="6" customFormat="false" ht="12.8" hidden="false" customHeight="false" outlineLevel="0" collapsed="false">
      <c r="A6" s="0" t="s">
        <v>17</v>
      </c>
      <c r="B6" s="2" t="n">
        <v>939</v>
      </c>
      <c r="C6" s="3" t="s">
        <v>18</v>
      </c>
    </row>
    <row r="7" customFormat="false" ht="12.8" hidden="false" customHeight="false" outlineLevel="0" collapsed="false">
      <c r="A7" s="0" t="s">
        <v>19</v>
      </c>
      <c r="B7" s="2" t="n">
        <v>890</v>
      </c>
      <c r="C7" s="3" t="s">
        <v>20</v>
      </c>
    </row>
    <row r="8" customFormat="false" ht="12.8" hidden="false" customHeight="false" outlineLevel="0" collapsed="false">
      <c r="A8" s="0" t="s">
        <v>21</v>
      </c>
      <c r="B8" s="2" t="n">
        <v>1021</v>
      </c>
      <c r="C8" s="3" t="s">
        <v>22</v>
      </c>
    </row>
    <row r="9" customFormat="false" ht="12.8" hidden="false" customHeight="false" outlineLevel="0" collapsed="false">
      <c r="A9" s="0" t="s">
        <v>23</v>
      </c>
      <c r="B9" s="2" t="n">
        <v>932</v>
      </c>
      <c r="C9" s="3" t="s">
        <v>24</v>
      </c>
    </row>
    <row r="10" customFormat="false" ht="12.8" hidden="false" customHeight="false" outlineLevel="0" collapsed="false">
      <c r="A10" s="0" t="s">
        <v>25</v>
      </c>
      <c r="B10" s="2" t="n">
        <v>129</v>
      </c>
      <c r="C10" s="3" t="s">
        <v>26</v>
      </c>
    </row>
    <row r="11" customFormat="false" ht="12.8" hidden="false" customHeight="false" outlineLevel="0" collapsed="false">
      <c r="A11" s="0" t="s">
        <v>27</v>
      </c>
      <c r="B11" s="2" t="n">
        <v>424</v>
      </c>
      <c r="C11" s="3" t="s">
        <v>26</v>
      </c>
    </row>
    <row r="12" customFormat="false" ht="12.8" hidden="false" customHeight="false" outlineLevel="0" collapsed="false">
      <c r="A12" s="0" t="s">
        <v>28</v>
      </c>
      <c r="B12" s="2" t="n">
        <v>144</v>
      </c>
      <c r="C12" s="3" t="s">
        <v>29</v>
      </c>
    </row>
    <row r="13" customFormat="false" ht="12.8" hidden="false" customHeight="false" outlineLevel="0" collapsed="false">
      <c r="A13" s="0" t="s">
        <v>30</v>
      </c>
      <c r="B13" s="2" t="n">
        <v>82</v>
      </c>
      <c r="C13" s="3" t="s">
        <v>26</v>
      </c>
    </row>
    <row r="14" customFormat="false" ht="12.8" hidden="false" customHeight="false" outlineLevel="0" collapsed="false">
      <c r="A14" s="0" t="s">
        <v>31</v>
      </c>
      <c r="B14" s="2" t="n">
        <v>63</v>
      </c>
      <c r="C14" s="3" t="s">
        <v>26</v>
      </c>
    </row>
    <row r="15" customFormat="false" ht="12.8" hidden="false" customHeight="false" outlineLevel="0" collapsed="false">
      <c r="A15" s="0" t="s">
        <v>32</v>
      </c>
      <c r="B15" s="2" t="n">
        <v>90</v>
      </c>
      <c r="C15" s="3" t="s">
        <v>33</v>
      </c>
    </row>
    <row r="16" customFormat="false" ht="12.8" hidden="false" customHeight="false" outlineLevel="0" collapsed="false">
      <c r="A16" s="0" t="s">
        <v>34</v>
      </c>
      <c r="B16" s="2" t="n">
        <v>716</v>
      </c>
      <c r="C16" s="3" t="s">
        <v>35</v>
      </c>
    </row>
    <row r="17" customFormat="false" ht="12.8" hidden="false" customHeight="false" outlineLevel="0" collapsed="false">
      <c r="A17" s="0" t="s">
        <v>36</v>
      </c>
      <c r="B17" s="2" t="n">
        <v>35</v>
      </c>
      <c r="C17" s="3" t="s">
        <v>26</v>
      </c>
    </row>
    <row r="18" customFormat="false" ht="12.8" hidden="false" customHeight="false" outlineLevel="0" collapsed="false">
      <c r="A18" s="0" t="s">
        <v>37</v>
      </c>
      <c r="B18" s="2" t="n">
        <v>40</v>
      </c>
      <c r="C18" s="3" t="s">
        <v>26</v>
      </c>
    </row>
    <row r="19" customFormat="false" ht="12.8" hidden="false" customHeight="false" outlineLevel="0" collapsed="false">
      <c r="A19" s="0" t="s">
        <v>38</v>
      </c>
      <c r="B19" s="2" t="n">
        <v>45</v>
      </c>
      <c r="C19" s="3" t="s">
        <v>26</v>
      </c>
    </row>
    <row r="20" customFormat="false" ht="12.8" hidden="false" customHeight="false" outlineLevel="0" collapsed="false">
      <c r="A20" s="0" t="s">
        <v>39</v>
      </c>
      <c r="B20" s="2" t="n">
        <v>50</v>
      </c>
      <c r="C20" s="3" t="s">
        <v>26</v>
      </c>
    </row>
    <row r="21" customFormat="false" ht="12.8" hidden="false" customHeight="false" outlineLevel="0" collapsed="false">
      <c r="A21" s="0" t="s">
        <v>40</v>
      </c>
      <c r="B21" s="2" t="n">
        <v>2684</v>
      </c>
      <c r="C21" s="3" t="s">
        <v>41</v>
      </c>
    </row>
    <row r="22" customFormat="false" ht="12.8" hidden="false" customHeight="false" outlineLevel="0" collapsed="false">
      <c r="A22" s="0" t="s">
        <v>42</v>
      </c>
      <c r="B22" s="2" t="n">
        <v>2778</v>
      </c>
      <c r="C22" s="3" t="s">
        <v>43</v>
      </c>
    </row>
    <row r="23" customFormat="false" ht="12.8" hidden="false" customHeight="false" outlineLevel="0" collapsed="false">
      <c r="A23" s="0" t="s">
        <v>44</v>
      </c>
      <c r="B23" s="2" t="n">
        <v>3117</v>
      </c>
      <c r="C23" s="3" t="s">
        <v>45</v>
      </c>
    </row>
    <row r="24" customFormat="false" ht="12.8" hidden="false" customHeight="false" outlineLevel="0" collapsed="false">
      <c r="A24" s="0" t="s">
        <v>46</v>
      </c>
      <c r="B24" s="2" t="n">
        <v>3198</v>
      </c>
      <c r="C24" s="3" t="s">
        <v>45</v>
      </c>
    </row>
    <row r="25" customFormat="false" ht="12.8" hidden="false" customHeight="false" outlineLevel="0" collapsed="false">
      <c r="A25" s="0" t="s">
        <v>47</v>
      </c>
      <c r="B25" s="2" t="n">
        <v>380</v>
      </c>
      <c r="C25" s="3" t="s">
        <v>48</v>
      </c>
    </row>
    <row r="26" customFormat="false" ht="12.8" hidden="false" customHeight="false" outlineLevel="0" collapsed="false">
      <c r="A26" s="0" t="s">
        <v>49</v>
      </c>
      <c r="B26" s="2" t="n">
        <v>575</v>
      </c>
      <c r="C26" s="3" t="s">
        <v>50</v>
      </c>
    </row>
    <row r="27" customFormat="false" ht="12.8" hidden="false" customHeight="false" outlineLevel="0" collapsed="false">
      <c r="A27" s="0" t="s">
        <v>51</v>
      </c>
      <c r="B27" s="2" t="n">
        <v>675</v>
      </c>
      <c r="C27" s="3" t="s">
        <v>52</v>
      </c>
    </row>
    <row r="28" customFormat="false" ht="12.8" hidden="false" customHeight="false" outlineLevel="0" collapsed="false">
      <c r="A28" s="0" t="s">
        <v>53</v>
      </c>
      <c r="B28" s="4" t="n">
        <v>10</v>
      </c>
      <c r="C28" s="3" t="s">
        <v>54</v>
      </c>
    </row>
    <row r="29" customFormat="false" ht="12.8" hidden="false" customHeight="false" outlineLevel="0" collapsed="false">
      <c r="A29" s="0" t="s">
        <v>55</v>
      </c>
      <c r="B29" s="4" t="n">
        <v>0</v>
      </c>
      <c r="C29" s="3" t="s">
        <v>56</v>
      </c>
    </row>
    <row r="30" customFormat="false" ht="12.8" hidden="false" customHeight="false" outlineLevel="0" collapsed="false">
      <c r="A30" s="0" t="s">
        <v>57</v>
      </c>
      <c r="B30" s="2" t="n">
        <v>409</v>
      </c>
      <c r="C30" s="3" t="s">
        <v>58</v>
      </c>
    </row>
    <row r="31" customFormat="false" ht="12.8" hidden="false" customHeight="false" outlineLevel="0" collapsed="false">
      <c r="A31" s="0" t="s">
        <v>59</v>
      </c>
      <c r="B31" s="2" t="n">
        <v>779</v>
      </c>
      <c r="C31" s="3" t="s">
        <v>60</v>
      </c>
    </row>
    <row r="32" customFormat="false" ht="12.8" hidden="false" customHeight="false" outlineLevel="0" collapsed="false">
      <c r="A32" s="0" t="s">
        <v>61</v>
      </c>
      <c r="B32" s="4" t="n">
        <v>160</v>
      </c>
      <c r="C32" s="3" t="s">
        <v>62</v>
      </c>
    </row>
    <row r="33" customFormat="false" ht="12.8" hidden="false" customHeight="false" outlineLevel="0" collapsed="false">
      <c r="A33" s="0" t="s">
        <v>63</v>
      </c>
      <c r="B33" s="2" t="n">
        <v>82</v>
      </c>
      <c r="C33" s="3" t="s">
        <v>64</v>
      </c>
    </row>
    <row r="34" customFormat="false" ht="12.8" hidden="false" customHeight="false" outlineLevel="0" collapsed="false">
      <c r="A34" s="0" t="s">
        <v>65</v>
      </c>
      <c r="B34" s="2" t="n">
        <v>116650</v>
      </c>
      <c r="C34" s="3" t="s">
        <v>66</v>
      </c>
    </row>
    <row r="35" customFormat="false" ht="12.8" hidden="false" customHeight="false" outlineLevel="0" collapsed="false">
      <c r="A35" s="0" t="s">
        <v>67</v>
      </c>
      <c r="B35" s="2" t="n">
        <v>49300</v>
      </c>
      <c r="C35" s="3" t="s">
        <v>68</v>
      </c>
    </row>
    <row r="36" customFormat="false" ht="12.8" hidden="false" customHeight="false" outlineLevel="0" collapsed="false">
      <c r="A36" s="0" t="s">
        <v>69</v>
      </c>
      <c r="B36" s="2" t="n">
        <v>105000</v>
      </c>
      <c r="C36" s="3" t="s">
        <v>70</v>
      </c>
    </row>
    <row r="37" customFormat="false" ht="12.8" hidden="false" customHeight="false" outlineLevel="0" collapsed="false">
      <c r="A37" s="0" t="s">
        <v>71</v>
      </c>
      <c r="B37" s="2" t="n">
        <v>3420</v>
      </c>
      <c r="C37" s="3" t="s">
        <v>72</v>
      </c>
    </row>
    <row r="38" customFormat="false" ht="12.8" hidden="false" customHeight="false" outlineLevel="0" collapsed="false">
      <c r="A38" s="0" t="s">
        <v>73</v>
      </c>
      <c r="B38" s="2" t="n">
        <v>2340</v>
      </c>
      <c r="C38" s="3" t="s">
        <v>74</v>
      </c>
    </row>
    <row r="39" customFormat="false" ht="12.8" hidden="false" customHeight="false" outlineLevel="0" collapsed="false">
      <c r="A39" s="0" t="s">
        <v>75</v>
      </c>
      <c r="B39" s="2" t="n">
        <v>164400</v>
      </c>
      <c r="C39" s="3" t="s">
        <v>76</v>
      </c>
    </row>
    <row r="40" customFormat="false" ht="12.8" hidden="false" customHeight="false" outlineLevel="0" collapsed="false">
      <c r="A40" s="0" t="s">
        <v>77</v>
      </c>
      <c r="B40" s="2" t="n">
        <v>3499</v>
      </c>
      <c r="C40" s="3" t="s">
        <v>78</v>
      </c>
    </row>
    <row r="41" customFormat="false" ht="12.8" hidden="false" customHeight="false" outlineLevel="0" collapsed="false">
      <c r="A41" s="0" t="s">
        <v>79</v>
      </c>
      <c r="B41" s="2" t="n">
        <v>3794</v>
      </c>
      <c r="C41" s="3" t="s">
        <v>80</v>
      </c>
    </row>
    <row r="42" customFormat="false" ht="12.8" hidden="false" customHeight="false" outlineLevel="0" collapsed="false">
      <c r="A42" s="0" t="s">
        <v>81</v>
      </c>
      <c r="B42" s="2" t="n">
        <v>3774</v>
      </c>
      <c r="C42" s="3" t="s">
        <v>82</v>
      </c>
    </row>
    <row r="43" customFormat="false" ht="12.8" hidden="false" customHeight="false" outlineLevel="0" collapsed="false">
      <c r="A43" s="0" t="s">
        <v>83</v>
      </c>
      <c r="B43" s="2" t="n">
        <v>2175</v>
      </c>
      <c r="C43" s="3" t="s">
        <v>84</v>
      </c>
    </row>
    <row r="44" customFormat="false" ht="12.8" hidden="false" customHeight="false" outlineLevel="0" collapsed="false">
      <c r="A44" s="0" t="s">
        <v>85</v>
      </c>
      <c r="B44" s="2" t="n">
        <v>200</v>
      </c>
      <c r="C44" s="3" t="s">
        <v>86</v>
      </c>
    </row>
    <row r="45" customFormat="false" ht="12.8" hidden="false" customHeight="false" outlineLevel="0" collapsed="false">
      <c r="A45" s="0" t="s">
        <v>87</v>
      </c>
      <c r="B45" s="2" t="n">
        <v>200</v>
      </c>
      <c r="C45" s="3" t="s">
        <v>88</v>
      </c>
    </row>
    <row r="46" customFormat="false" ht="12.8" hidden="false" customHeight="false" outlineLevel="0" collapsed="false">
      <c r="A46" s="0" t="s">
        <v>89</v>
      </c>
      <c r="B46" s="2" t="n">
        <v>3500</v>
      </c>
      <c r="C46" s="3" t="s">
        <v>90</v>
      </c>
    </row>
    <row r="47" customFormat="false" ht="12.8" hidden="false" customHeight="false" outlineLevel="0" collapsed="false">
      <c r="A47" s="0" t="s">
        <v>91</v>
      </c>
      <c r="B47" s="2" t="n">
        <v>3800</v>
      </c>
      <c r="C47" s="3" t="s">
        <v>92</v>
      </c>
    </row>
    <row r="48" customFormat="false" ht="12.8" hidden="false" customHeight="false" outlineLevel="0" collapsed="false">
      <c r="A48" s="0" t="s">
        <v>93</v>
      </c>
      <c r="B48" s="2" t="n">
        <v>1600</v>
      </c>
      <c r="C48" s="3" t="s">
        <v>94</v>
      </c>
    </row>
    <row r="49" customFormat="false" ht="12.8" hidden="false" customHeight="false" outlineLevel="0" collapsed="false">
      <c r="A49" s="0" t="s">
        <v>95</v>
      </c>
      <c r="B49" s="2" t="n">
        <v>800000</v>
      </c>
      <c r="C49" s="3" t="s">
        <v>96</v>
      </c>
    </row>
    <row r="50" customFormat="false" ht="12.8" hidden="false" customHeight="false" outlineLevel="0" collapsed="false">
      <c r="A50" s="0" t="s">
        <v>97</v>
      </c>
      <c r="B50" s="2" t="n">
        <v>2000</v>
      </c>
      <c r="C50" s="3" t="s">
        <v>98</v>
      </c>
    </row>
    <row r="51" customFormat="false" ht="12.8" hidden="false" customHeight="false" outlineLevel="0" collapsed="false">
      <c r="A51" s="0" t="s">
        <v>99</v>
      </c>
      <c r="B51" s="4" t="n">
        <v>0.065</v>
      </c>
      <c r="C51" s="3" t="s">
        <v>100</v>
      </c>
    </row>
    <row r="52" customFormat="false" ht="12.8" hidden="false" customHeight="false" outlineLevel="0" collapsed="false">
      <c r="A52" s="0" t="s">
        <v>101</v>
      </c>
      <c r="B52" s="4" t="n">
        <v>0.05</v>
      </c>
      <c r="C52" s="3" t="s">
        <v>102</v>
      </c>
    </row>
    <row r="53" customFormat="false" ht="12.8" hidden="false" customHeight="false" outlineLevel="0" collapsed="false">
      <c r="A53" s="0" t="s">
        <v>103</v>
      </c>
      <c r="B53" s="4" t="n">
        <v>0.0088</v>
      </c>
      <c r="C53" s="3" t="s">
        <v>104</v>
      </c>
    </row>
    <row r="54" customFormat="false" ht="12.8" hidden="false" customHeight="false" outlineLevel="0" collapsed="false">
      <c r="A54" s="0" t="s">
        <v>105</v>
      </c>
      <c r="B54" s="2" t="n">
        <v>300</v>
      </c>
      <c r="C54" s="3" t="s">
        <v>106</v>
      </c>
    </row>
    <row r="55" customFormat="false" ht="12.8" hidden="false" customHeight="false" outlineLevel="0" collapsed="false">
      <c r="A55" s="0" t="s">
        <v>107</v>
      </c>
      <c r="B55" s="2" t="n">
        <v>162</v>
      </c>
      <c r="C55" s="3" t="s">
        <v>108</v>
      </c>
    </row>
    <row r="56" customFormat="false" ht="12.8" hidden="false" customHeight="false" outlineLevel="0" collapsed="false">
      <c r="A56" s="0" t="s">
        <v>109</v>
      </c>
      <c r="B56" s="4" t="n">
        <v>0.033</v>
      </c>
      <c r="C56" s="3" t="s">
        <v>110</v>
      </c>
    </row>
    <row r="57" customFormat="false" ht="12.8" hidden="false" customHeight="false" outlineLevel="0" collapsed="false">
      <c r="A57" s="0" t="s">
        <v>111</v>
      </c>
      <c r="B57" s="4" t="n">
        <v>1.3</v>
      </c>
      <c r="C57" s="3" t="s">
        <v>112</v>
      </c>
    </row>
    <row r="58" customFormat="false" ht="12.8" hidden="false" customHeight="false" outlineLevel="0" collapsed="false">
      <c r="A58" s="0" t="s">
        <v>113</v>
      </c>
      <c r="B58" s="2" t="n">
        <v>300</v>
      </c>
      <c r="C58" s="3" t="s">
        <v>114</v>
      </c>
    </row>
    <row r="59" customFormat="false" ht="12.8" hidden="false" customHeight="false" outlineLevel="0" collapsed="false">
      <c r="A59" s="0" t="s">
        <v>115</v>
      </c>
      <c r="B59" s="4" t="n">
        <v>0.092</v>
      </c>
      <c r="C59" s="3" t="s">
        <v>116</v>
      </c>
    </row>
    <row r="60" customFormat="false" ht="12.8" hidden="false" customHeight="false" outlineLevel="0" collapsed="false">
      <c r="A60" s="0" t="s">
        <v>117</v>
      </c>
      <c r="B60" s="4" t="n">
        <v>0.15</v>
      </c>
      <c r="C60" s="3" t="s">
        <v>118</v>
      </c>
    </row>
    <row r="61" customFormat="false" ht="12.8" hidden="false" customHeight="false" outlineLevel="0" collapsed="false">
      <c r="A61" s="0" t="s">
        <v>119</v>
      </c>
      <c r="B61" s="4" t="n">
        <v>0.06</v>
      </c>
      <c r="C61" s="3" t="s">
        <v>120</v>
      </c>
    </row>
    <row r="62" customFormat="false" ht="12.8" hidden="false" customHeight="false" outlineLevel="0" collapsed="false">
      <c r="A62" s="0" t="s">
        <v>121</v>
      </c>
      <c r="B62" s="4" t="n">
        <v>0.11</v>
      </c>
      <c r="C62" s="3" t="s">
        <v>122</v>
      </c>
    </row>
    <row r="63" customFormat="false" ht="12.8" hidden="false" customHeight="false" outlineLevel="0" collapsed="false">
      <c r="A63" s="0" t="s">
        <v>123</v>
      </c>
      <c r="B63" s="4" t="n">
        <v>0.12</v>
      </c>
      <c r="C63" s="3" t="s">
        <v>124</v>
      </c>
    </row>
    <row r="64" customFormat="false" ht="12.8" hidden="false" customHeight="false" outlineLevel="0" collapsed="false">
      <c r="A64" s="0" t="s">
        <v>125</v>
      </c>
      <c r="B64" s="2" t="n">
        <v>8.16</v>
      </c>
      <c r="C64" s="3" t="s">
        <v>126</v>
      </c>
    </row>
    <row r="65" customFormat="false" ht="12.8" hidden="false" customHeight="false" outlineLevel="0" collapsed="false">
      <c r="A65" s="0" t="s">
        <v>127</v>
      </c>
      <c r="B65" s="2" t="n">
        <v>17806.47</v>
      </c>
      <c r="C65" s="3" t="s">
        <v>128</v>
      </c>
    </row>
    <row r="66" customFormat="false" ht="12.8" hidden="false" customHeight="false" outlineLevel="0" collapsed="false">
      <c r="A66" s="0" t="s">
        <v>129</v>
      </c>
      <c r="B66" s="2" t="n">
        <v>10614.11</v>
      </c>
      <c r="C66" s="3" t="s">
        <v>130</v>
      </c>
    </row>
    <row r="67" customFormat="false" ht="12.8" hidden="false" customHeight="false" outlineLevel="0" collapsed="false">
      <c r="A67" s="0" t="s">
        <v>131</v>
      </c>
      <c r="B67" s="2" t="n">
        <v>1784.82</v>
      </c>
      <c r="C67" s="3" t="s">
        <v>128</v>
      </c>
    </row>
    <row r="68" customFormat="false" ht="12.8" hidden="false" customHeight="false" outlineLevel="0" collapsed="false">
      <c r="A68" s="0" t="s">
        <v>132</v>
      </c>
      <c r="B68" s="2" t="n">
        <v>11678.41</v>
      </c>
      <c r="C68" s="3" t="s">
        <v>133</v>
      </c>
    </row>
    <row r="69" customFormat="false" ht="12.8" hidden="false" customHeight="false" outlineLevel="0" collapsed="false">
      <c r="A69" s="0" t="s">
        <v>134</v>
      </c>
      <c r="B69" s="2" t="n">
        <v>1081</v>
      </c>
      <c r="C69" s="3" t="s">
        <v>128</v>
      </c>
    </row>
    <row r="70" customFormat="false" ht="12.8" hidden="false" customHeight="false" outlineLevel="0" collapsed="false">
      <c r="A70" s="0" t="s">
        <v>135</v>
      </c>
      <c r="B70" s="4" t="n">
        <v>0</v>
      </c>
      <c r="C70" s="3" t="s">
        <v>136</v>
      </c>
    </row>
    <row r="71" customFormat="false" ht="12.8" hidden="false" customHeight="false" outlineLevel="0" collapsed="false">
      <c r="A71" s="0" t="s">
        <v>137</v>
      </c>
      <c r="B71" s="4" t="n">
        <v>0.6</v>
      </c>
      <c r="C71" s="3" t="s">
        <v>138</v>
      </c>
    </row>
    <row r="72" customFormat="false" ht="12.8" hidden="false" customHeight="false" outlineLevel="0" collapsed="false">
      <c r="A72" s="0" t="s">
        <v>139</v>
      </c>
      <c r="B72" s="4" t="n">
        <v>0.05</v>
      </c>
      <c r="C72" s="3" t="s">
        <v>140</v>
      </c>
    </row>
    <row r="73" customFormat="false" ht="12.8" hidden="false" customHeight="false" outlineLevel="0" collapsed="false">
      <c r="A73" s="0" t="s">
        <v>141</v>
      </c>
      <c r="B73" s="4" t="n">
        <v>0.32</v>
      </c>
      <c r="C73" s="3" t="s">
        <v>142</v>
      </c>
    </row>
    <row r="74" customFormat="false" ht="12.8" hidden="false" customHeight="false" outlineLevel="0" collapsed="false">
      <c r="A74" s="0" t="s">
        <v>143</v>
      </c>
      <c r="B74" s="4" t="n">
        <v>0.055</v>
      </c>
      <c r="C74" s="3" t="s">
        <v>144</v>
      </c>
    </row>
    <row r="75" customFormat="false" ht="12.8" hidden="false" customHeight="false" outlineLevel="0" collapsed="false">
      <c r="A75" s="0" t="s">
        <v>145</v>
      </c>
      <c r="B75" s="4" t="n">
        <v>0.07</v>
      </c>
      <c r="C75" s="3" t="s">
        <v>146</v>
      </c>
    </row>
    <row r="76" customFormat="false" ht="12.8" hidden="false" customHeight="false" outlineLevel="0" collapsed="false">
      <c r="A76" s="0" t="s">
        <v>147</v>
      </c>
      <c r="B76" s="2" t="n">
        <v>2900</v>
      </c>
      <c r="C76" s="3" t="s">
        <v>148</v>
      </c>
    </row>
    <row r="77" customFormat="false" ht="12.8" hidden="false" customHeight="false" outlineLevel="0" collapsed="false">
      <c r="A77" s="0" t="s">
        <v>149</v>
      </c>
      <c r="B77" s="2" t="n">
        <v>2070</v>
      </c>
      <c r="C77" s="3" t="s">
        <v>150</v>
      </c>
    </row>
    <row r="78" customFormat="false" ht="12.8" hidden="false" customHeight="false" outlineLevel="0" collapsed="false">
      <c r="A78" s="0" t="s">
        <v>151</v>
      </c>
      <c r="B78" s="2" t="n">
        <v>2196</v>
      </c>
      <c r="C78" s="3" t="s">
        <v>152</v>
      </c>
    </row>
    <row r="79" customFormat="false" ht="12.8" hidden="false" customHeight="false" outlineLevel="0" collapsed="false">
      <c r="A79" s="0" t="s">
        <v>153</v>
      </c>
      <c r="B79" s="2" t="n">
        <v>3054000</v>
      </c>
      <c r="C79" s="3" t="s">
        <v>154</v>
      </c>
    </row>
    <row r="80" customFormat="false" ht="12.8" hidden="false" customHeight="false" outlineLevel="0" collapsed="false">
      <c r="A80" s="0" t="s">
        <v>155</v>
      </c>
      <c r="B80" s="4" t="n">
        <v>2.09</v>
      </c>
      <c r="C80" s="3" t="s">
        <v>156</v>
      </c>
    </row>
    <row r="81" customFormat="false" ht="12.8" hidden="false" customHeight="false" outlineLevel="0" collapsed="false">
      <c r="A81" s="0" t="s">
        <v>157</v>
      </c>
      <c r="B81" s="2" t="n">
        <v>240000</v>
      </c>
      <c r="C81" s="3" t="s">
        <v>158</v>
      </c>
    </row>
    <row r="82" customFormat="false" ht="12.8" hidden="false" customHeight="false" outlineLevel="0" collapsed="false">
      <c r="A82" s="0" t="s">
        <v>159</v>
      </c>
      <c r="B82" s="2" t="n">
        <v>30</v>
      </c>
      <c r="C82" s="3" t="s">
        <v>160</v>
      </c>
    </row>
    <row r="83" customFormat="false" ht="12.8" hidden="false" customHeight="false" outlineLevel="0" collapsed="false">
      <c r="A83" s="0" t="s">
        <v>161</v>
      </c>
      <c r="B83" s="2" t="n">
        <v>2381</v>
      </c>
      <c r="C83" s="3" t="s">
        <v>162</v>
      </c>
    </row>
    <row r="84" customFormat="false" ht="12.8" hidden="false" customHeight="false" outlineLevel="0" collapsed="false">
      <c r="A84" s="0" t="s">
        <v>163</v>
      </c>
      <c r="B84" s="2" t="n">
        <v>2299</v>
      </c>
      <c r="C84" s="3" t="s">
        <v>164</v>
      </c>
    </row>
    <row r="85" customFormat="false" ht="12.8" hidden="false" customHeight="false" outlineLevel="0" collapsed="false">
      <c r="A85" s="0" t="s">
        <v>165</v>
      </c>
      <c r="B85" s="2" t="n">
        <v>3357</v>
      </c>
      <c r="C85" s="3" t="s">
        <v>166</v>
      </c>
    </row>
    <row r="86" customFormat="false" ht="12.8" hidden="false" customHeight="false" outlineLevel="0" collapsed="false">
      <c r="A86" s="0" t="s">
        <v>167</v>
      </c>
      <c r="B86" s="4" t="n">
        <v>0.3</v>
      </c>
      <c r="C86" s="3" t="s">
        <v>168</v>
      </c>
    </row>
    <row r="87" customFormat="false" ht="12.8" hidden="false" customHeight="false" outlineLevel="0" collapsed="false">
      <c r="A87" s="0" t="s">
        <v>169</v>
      </c>
      <c r="B87" s="2" t="n">
        <v>900</v>
      </c>
      <c r="C87" s="3" t="s">
        <v>170</v>
      </c>
    </row>
    <row r="88" customFormat="false" ht="12.8" hidden="false" customHeight="false" outlineLevel="0" collapsed="false">
      <c r="A88" s="0" t="s">
        <v>171</v>
      </c>
      <c r="B88" s="2" t="n">
        <v>6000</v>
      </c>
      <c r="C88" s="3" t="s">
        <v>172</v>
      </c>
    </row>
    <row r="89" customFormat="false" ht="12.8" hidden="false" customHeight="false" outlineLevel="0" collapsed="false">
      <c r="A89" s="1" t="s">
        <v>173</v>
      </c>
    </row>
    <row r="90" customFormat="false" ht="12.8" hidden="false" customHeight="false" outlineLevel="0" collapsed="false">
      <c r="A90" s="0" t="s">
        <v>174</v>
      </c>
      <c r="B90" s="4" t="n">
        <v>0.7</v>
      </c>
      <c r="C90" s="3" t="s">
        <v>175</v>
      </c>
    </row>
    <row r="91" customFormat="false" ht="12.8" hidden="false" customHeight="false" outlineLevel="0" collapsed="false">
      <c r="A91" s="0" t="s">
        <v>176</v>
      </c>
      <c r="B91" s="4" t="n">
        <v>0.8</v>
      </c>
      <c r="C91" s="3" t="s">
        <v>175</v>
      </c>
    </row>
    <row r="92" customFormat="false" ht="12.8" hidden="false" customHeight="false" outlineLevel="0" collapsed="false">
      <c r="A92" s="0" t="s">
        <v>177</v>
      </c>
      <c r="B92" s="4" t="n">
        <v>0.9</v>
      </c>
      <c r="C92" s="3" t="s">
        <v>175</v>
      </c>
    </row>
    <row r="93" customFormat="false" ht="12.8" hidden="false" customHeight="false" outlineLevel="0" collapsed="false">
      <c r="A93" s="0" t="s">
        <v>178</v>
      </c>
      <c r="B93" s="4" t="n">
        <v>1</v>
      </c>
      <c r="C93" s="3" t="s">
        <v>175</v>
      </c>
    </row>
    <row r="94" customFormat="false" ht="12.8" hidden="false" customHeight="false" outlineLevel="0" collapsed="false">
      <c r="A94" s="0" t="s">
        <v>179</v>
      </c>
      <c r="B94" s="4" t="n">
        <v>1.08</v>
      </c>
      <c r="C94" s="3" t="s">
        <v>175</v>
      </c>
    </row>
    <row r="95" customFormat="false" ht="12.8" hidden="false" customHeight="false" outlineLevel="0" collapsed="false">
      <c r="A95" s="0" t="s">
        <v>180</v>
      </c>
      <c r="B95" s="4" t="n">
        <v>1.16</v>
      </c>
      <c r="C95" s="3" t="s">
        <v>175</v>
      </c>
    </row>
    <row r="96" customFormat="false" ht="12.8" hidden="false" customHeight="false" outlineLevel="0" collapsed="false">
      <c r="A96" s="1" t="s">
        <v>181</v>
      </c>
    </row>
    <row r="97" customFormat="false" ht="12.8" hidden="false" customHeight="false" outlineLevel="0" collapsed="false">
      <c r="A97" s="0" t="s">
        <v>182</v>
      </c>
      <c r="B97" s="2" t="n">
        <v>107</v>
      </c>
      <c r="C97" s="3" t="s">
        <v>183</v>
      </c>
    </row>
    <row r="98" customFormat="false" ht="12.8" hidden="false" customHeight="false" outlineLevel="0" collapsed="false">
      <c r="A98" s="0" t="s">
        <v>184</v>
      </c>
      <c r="B98" s="2" t="n">
        <v>137</v>
      </c>
      <c r="C98" s="3" t="s">
        <v>185</v>
      </c>
    </row>
    <row r="99" customFormat="false" ht="12.8" hidden="false" customHeight="false" outlineLevel="0" collapsed="false">
      <c r="A99" s="0" t="s">
        <v>186</v>
      </c>
      <c r="B99" s="2" t="n">
        <v>54</v>
      </c>
      <c r="C99" s="3" t="s">
        <v>187</v>
      </c>
    </row>
    <row r="100" customFormat="false" ht="12.8" hidden="false" customHeight="false" outlineLevel="0" collapsed="false">
      <c r="A100" s="0" t="s">
        <v>188</v>
      </c>
      <c r="B100" s="2" t="n">
        <v>36</v>
      </c>
      <c r="C100" s="3" t="s">
        <v>189</v>
      </c>
    </row>
    <row r="101" customFormat="false" ht="12.8" hidden="false" customHeight="false" outlineLevel="0" collapsed="false">
      <c r="A101" s="0" t="s">
        <v>190</v>
      </c>
      <c r="B101" s="2" t="n">
        <v>6</v>
      </c>
      <c r="C101" s="3" t="s">
        <v>191</v>
      </c>
    </row>
    <row r="102" customFormat="false" ht="12.8" hidden="false" customHeight="false" outlineLevel="0" collapsed="false">
      <c r="A102" s="0" t="s">
        <v>192</v>
      </c>
      <c r="B102" s="2" t="n">
        <v>12</v>
      </c>
      <c r="C102" s="3" t="s">
        <v>193</v>
      </c>
    </row>
    <row r="103" customFormat="false" ht="12.8" hidden="false" customHeight="false" outlineLevel="0" collapsed="false">
      <c r="A103" s="0" t="s">
        <v>194</v>
      </c>
      <c r="B103" s="4" t="n">
        <v>1.5</v>
      </c>
      <c r="C103" s="3" t="s">
        <v>195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4.11"/>
    <col collapsed="false" customWidth="true" hidden="false" outlineLevel="0" max="2" min="2" style="0" width="16.86"/>
    <col collapsed="false" customWidth="true" hidden="false" outlineLevel="0" max="3" min="3" style="0" width="77.84"/>
  </cols>
  <sheetData>
    <row r="1" customFormat="false" ht="12.8" hidden="false" customHeight="false" outlineLevel="0" collapsed="false">
      <c r="A1" s="1" t="s">
        <v>196</v>
      </c>
    </row>
    <row r="2" customFormat="false" ht="12.8" hidden="false" customHeight="false" outlineLevel="0" collapsed="false">
      <c r="A2" s="0" t="s">
        <v>197</v>
      </c>
      <c r="B2" s="5" t="n">
        <f aca="false">Inputs!$B$24-Inputs!$B$21</f>
        <v>514</v>
      </c>
      <c r="C2" s="3" t="s">
        <v>198</v>
      </c>
    </row>
    <row r="3" customFormat="false" ht="12.8" hidden="false" customHeight="false" outlineLevel="0" collapsed="false">
      <c r="A3" s="0" t="s">
        <v>199</v>
      </c>
      <c r="B3" s="6" t="n">
        <f aca="false">Results!$B$2/Inputs!$B$2</f>
        <v>0.577528089887641</v>
      </c>
      <c r="C3" s="3" t="s">
        <v>200</v>
      </c>
    </row>
    <row r="4" customFormat="false" ht="12.8" hidden="false" customHeight="false" outlineLevel="0" collapsed="false">
      <c r="A4" s="0" t="s">
        <v>201</v>
      </c>
      <c r="B4" s="7" t="n">
        <f aca="false">(Results!$B$2/7)/(Inputs!$B$2/25)</f>
        <v>2.06260032102729</v>
      </c>
      <c r="C4" s="3" t="s">
        <v>202</v>
      </c>
    </row>
    <row r="5" customFormat="false" ht="12.8" hidden="false" customHeight="false" outlineLevel="0" collapsed="false">
      <c r="A5" s="1" t="s">
        <v>203</v>
      </c>
    </row>
    <row r="6" customFormat="false" ht="12.8" hidden="false" customHeight="false" outlineLevel="0" collapsed="false">
      <c r="A6" s="0" t="s">
        <v>204</v>
      </c>
      <c r="B6" s="5" t="n">
        <f aca="false">ROUND(Inputs!$B$12*Inputs!$B$97/Inputs!$B$98,0)</f>
        <v>112</v>
      </c>
      <c r="C6" s="3" t="s">
        <v>205</v>
      </c>
    </row>
    <row r="7" customFormat="false" ht="12.8" hidden="false" customHeight="false" outlineLevel="0" collapsed="false">
      <c r="A7" s="0" t="s">
        <v>206</v>
      </c>
      <c r="B7" s="5" t="n">
        <f aca="false">Inputs!$B$10+Inputs!$B$11+Results!$B$6</f>
        <v>665</v>
      </c>
      <c r="C7" s="3" t="s">
        <v>200</v>
      </c>
    </row>
    <row r="8" customFormat="false" ht="12.8" hidden="false" customHeight="false" outlineLevel="0" collapsed="false">
      <c r="A8" s="0" t="s">
        <v>207</v>
      </c>
      <c r="B8" s="5" t="n">
        <f aca="false">Results!$B$7+Inputs!$B$99</f>
        <v>719</v>
      </c>
      <c r="C8" s="3" t="s">
        <v>200</v>
      </c>
    </row>
    <row r="9" customFormat="false" ht="12.8" hidden="false" customHeight="false" outlineLevel="0" collapsed="false">
      <c r="A9" s="0" t="s">
        <v>208</v>
      </c>
      <c r="B9" s="5" t="n">
        <f aca="false">Results!$B$7-Inputs!$B$27</f>
        <v>-10</v>
      </c>
      <c r="C9" s="3" t="s">
        <v>209</v>
      </c>
    </row>
    <row r="10" customFormat="false" ht="12.8" hidden="false" customHeight="false" outlineLevel="0" collapsed="false">
      <c r="A10" s="0" t="s">
        <v>210</v>
      </c>
      <c r="B10" s="5" t="n">
        <f aca="false">Results!$B$8-Inputs!$B$27</f>
        <v>44</v>
      </c>
      <c r="C10" s="3" t="s">
        <v>211</v>
      </c>
    </row>
    <row r="11" customFormat="false" ht="12.8" hidden="false" customHeight="false" outlineLevel="0" collapsed="false">
      <c r="A11" s="0" t="s">
        <v>212</v>
      </c>
      <c r="B11" s="5" t="n">
        <f aca="false">Inputs!$B$13+Inputs!$B$14+(Inputs!$B$12-Results!$B$6)</f>
        <v>177</v>
      </c>
      <c r="C11" s="3" t="s">
        <v>213</v>
      </c>
    </row>
    <row r="12" customFormat="false" ht="12.8" hidden="false" customHeight="false" outlineLevel="0" collapsed="false">
      <c r="A12" s="0" t="s">
        <v>214</v>
      </c>
      <c r="B12" s="5" t="n">
        <f aca="false">Inputs!$B$100</f>
        <v>36</v>
      </c>
      <c r="C12" s="3" t="s">
        <v>215</v>
      </c>
    </row>
    <row r="13" customFormat="false" ht="12.8" hidden="false" customHeight="false" outlineLevel="0" collapsed="false">
      <c r="A13" s="1" t="s">
        <v>216</v>
      </c>
    </row>
    <row r="14" customFormat="false" ht="12.8" hidden="false" customHeight="false" outlineLevel="0" collapsed="false">
      <c r="A14" s="0" t="s">
        <v>217</v>
      </c>
      <c r="B14" s="8" t="n">
        <f aca="false">Inputs!$B$34*Inputs!$B$92</f>
        <v>104985</v>
      </c>
      <c r="C14" s="3" t="s">
        <v>218</v>
      </c>
    </row>
    <row r="15" customFormat="false" ht="12.8" hidden="false" customHeight="false" outlineLevel="0" collapsed="false">
      <c r="A15" s="0" t="s">
        <v>219</v>
      </c>
      <c r="B15" s="8" t="n">
        <f aca="false">1.2*0.5*Inputs!$B$39*Inputs!$B$92</f>
        <v>88776</v>
      </c>
      <c r="C15" s="3" t="s">
        <v>220</v>
      </c>
    </row>
    <row r="16" customFormat="false" ht="12.8" hidden="false" customHeight="false" outlineLevel="0" collapsed="false">
      <c r="A16" s="0" t="s">
        <v>221</v>
      </c>
      <c r="B16" s="8" t="n">
        <f aca="false">0.5*Inputs!$B$39*Inputs!$B$92</f>
        <v>73980</v>
      </c>
      <c r="C16" s="3" t="s">
        <v>222</v>
      </c>
    </row>
    <row r="17" customFormat="false" ht="12.8" hidden="false" customHeight="false" outlineLevel="0" collapsed="false">
      <c r="A17" s="0" t="s">
        <v>223</v>
      </c>
      <c r="B17" s="8" t="n">
        <f aca="false">Inputs!$B$35*Inputs!$B$92</f>
        <v>44370</v>
      </c>
      <c r="C17" s="3" t="s">
        <v>200</v>
      </c>
    </row>
    <row r="18" customFormat="false" ht="12.8" hidden="false" customHeight="false" outlineLevel="0" collapsed="false">
      <c r="A18" s="0" t="s">
        <v>224</v>
      </c>
      <c r="B18" s="8" t="n">
        <f aca="false">Results!$B$14*0.3/12</f>
        <v>2624.625</v>
      </c>
      <c r="C18" s="3" t="s">
        <v>225</v>
      </c>
    </row>
    <row r="19" customFormat="false" ht="12.8" hidden="false" customHeight="false" outlineLevel="0" collapsed="false">
      <c r="A19" s="0" t="s">
        <v>226</v>
      </c>
      <c r="B19" s="8" t="n">
        <f aca="false">Results!$B$15*0.3/12</f>
        <v>2219.4</v>
      </c>
      <c r="C19" s="3" t="s">
        <v>200</v>
      </c>
    </row>
    <row r="20" customFormat="false" ht="12.8" hidden="false" customHeight="false" outlineLevel="0" collapsed="false">
      <c r="A20" s="0" t="s">
        <v>227</v>
      </c>
      <c r="B20" s="8" t="n">
        <f aca="false">Results!$B$16*0.3/12</f>
        <v>1849.5</v>
      </c>
      <c r="C20" s="3" t="s">
        <v>200</v>
      </c>
    </row>
    <row r="21" customFormat="false" ht="12.8" hidden="false" customHeight="false" outlineLevel="0" collapsed="false">
      <c r="A21" s="0" t="s">
        <v>228</v>
      </c>
      <c r="B21" s="8" t="n">
        <f aca="false">Results!$B$17*0.3/12</f>
        <v>1109.25</v>
      </c>
      <c r="C21" s="3" t="s">
        <v>229</v>
      </c>
    </row>
    <row r="22" customFormat="false" ht="12.8" hidden="false" customHeight="false" outlineLevel="0" collapsed="false">
      <c r="A22" s="0" t="s">
        <v>230</v>
      </c>
      <c r="B22" s="8" t="n">
        <f aca="false">Results!$B$18-Inputs!$B$44</f>
        <v>2424.625</v>
      </c>
      <c r="C22" s="3" t="s">
        <v>231</v>
      </c>
    </row>
    <row r="23" customFormat="false" ht="12.8" hidden="false" customHeight="false" outlineLevel="0" collapsed="false">
      <c r="A23" s="0" t="s">
        <v>232</v>
      </c>
      <c r="B23" s="8" t="n">
        <f aca="false">Results!$B$19-Inputs!$B$44</f>
        <v>2019.4</v>
      </c>
      <c r="C23" s="3" t="s">
        <v>200</v>
      </c>
    </row>
    <row r="24" customFormat="false" ht="12.8" hidden="false" customHeight="false" outlineLevel="0" collapsed="false">
      <c r="A24" s="0" t="s">
        <v>233</v>
      </c>
      <c r="B24" s="8" t="n">
        <f aca="false">Results!$B$20-Inputs!$B$44</f>
        <v>1649.5</v>
      </c>
      <c r="C24" s="3" t="s">
        <v>200</v>
      </c>
    </row>
    <row r="25" customFormat="false" ht="12.8" hidden="false" customHeight="false" outlineLevel="0" collapsed="false">
      <c r="A25" s="0" t="s">
        <v>234</v>
      </c>
      <c r="B25" s="8" t="n">
        <f aca="false">Results!$B$21-Inputs!$B$44</f>
        <v>909.25</v>
      </c>
      <c r="C25" s="3" t="s">
        <v>200</v>
      </c>
    </row>
    <row r="26" customFormat="false" ht="12.8" hidden="false" customHeight="false" outlineLevel="0" collapsed="false">
      <c r="A26" s="1" t="s">
        <v>235</v>
      </c>
    </row>
    <row r="27" customFormat="false" ht="12.8" hidden="false" customHeight="false" outlineLevel="0" collapsed="false">
      <c r="A27" s="0" t="s">
        <v>236</v>
      </c>
      <c r="B27" s="9" t="n">
        <f aca="false">Inputs!$B$55*(1-Inputs!$B$56)*Inputs!$B$57</f>
        <v>203.6502</v>
      </c>
      <c r="C27" s="3" t="s">
        <v>237</v>
      </c>
    </row>
    <row r="28" customFormat="false" ht="12.8" hidden="false" customHeight="false" outlineLevel="0" collapsed="false">
      <c r="A28" s="0" t="s">
        <v>238</v>
      </c>
      <c r="B28" s="8" t="n">
        <f aca="false">Inputs!$B$87*Results!$B$27*(1+Inputs!$B$59)</f>
        <v>200147.41656</v>
      </c>
      <c r="C28" s="3" t="s">
        <v>200</v>
      </c>
    </row>
    <row r="29" customFormat="false" ht="12.8" hidden="false" customHeight="false" outlineLevel="0" collapsed="false">
      <c r="A29" s="0" t="s">
        <v>239</v>
      </c>
      <c r="B29" s="8" t="n">
        <f aca="false">Inputs!$B$103*Inputs!$B$88</f>
        <v>9000</v>
      </c>
      <c r="C29" s="3" t="s">
        <v>200</v>
      </c>
    </row>
    <row r="30" customFormat="false" ht="12.8" hidden="false" customHeight="false" outlineLevel="0" collapsed="false">
      <c r="A30" s="0" t="s">
        <v>240</v>
      </c>
      <c r="B30" s="8" t="n">
        <f aca="false">(Results!$B$28+Results!$B$29)*Inputs!$B$60</f>
        <v>31372.112484</v>
      </c>
      <c r="C30" s="3" t="s">
        <v>200</v>
      </c>
    </row>
    <row r="31" customFormat="false" ht="12.8" hidden="false" customHeight="false" outlineLevel="0" collapsed="false">
      <c r="A31" s="0" t="s">
        <v>241</v>
      </c>
      <c r="B31" s="8" t="n">
        <f aca="false">Inputs!$B$64*MAX(702,MIN(3214,Inputs!$B$87))</f>
        <v>7344</v>
      </c>
      <c r="C31" s="3" t="s">
        <v>200</v>
      </c>
    </row>
    <row r="32" customFormat="false" ht="12.8" hidden="false" customHeight="false" outlineLevel="0" collapsed="false">
      <c r="A32" s="0" t="s">
        <v>242</v>
      </c>
      <c r="B32" s="8" t="n">
        <f aca="false">Inputs!$B$68*Inputs!$B$71</f>
        <v>7007.046</v>
      </c>
      <c r="C32" s="3" t="s">
        <v>200</v>
      </c>
    </row>
    <row r="33" customFormat="false" ht="12.8" hidden="false" customHeight="false" outlineLevel="0" collapsed="false">
      <c r="A33" s="0" t="s">
        <v>243</v>
      </c>
      <c r="B33" s="8" t="n">
        <f aca="false">(Inputs!$B$65+Inputs!$B$66+Inputs!$B$67+Inputs!$B$69)*Inputs!$B$71+Inputs!$B$70</f>
        <v>18771.84</v>
      </c>
      <c r="C33" s="3" t="s">
        <v>200</v>
      </c>
    </row>
    <row r="34" customFormat="false" ht="12.8" hidden="false" customHeight="false" outlineLevel="0" collapsed="false">
      <c r="A34" s="0" t="s">
        <v>244</v>
      </c>
      <c r="B34" s="8" t="n">
        <f aca="false">Results!$B$31+Results!$B$32+Results!$B$33</f>
        <v>33122.886</v>
      </c>
      <c r="C34" s="3" t="s">
        <v>245</v>
      </c>
    </row>
    <row r="35" customFormat="false" ht="12.8" hidden="false" customHeight="false" outlineLevel="0" collapsed="false">
      <c r="A35" s="0" t="s">
        <v>246</v>
      </c>
      <c r="B35" s="8" t="n">
        <f aca="false">(Results!$B$28+Results!$B$29+Results!$B$30+Results!$B$34)*Inputs!$B$61</f>
        <v>16418.54490264</v>
      </c>
      <c r="C35" s="3" t="s">
        <v>200</v>
      </c>
    </row>
    <row r="36" customFormat="false" ht="12.8" hidden="false" customHeight="false" outlineLevel="0" collapsed="false">
      <c r="A36" s="0" t="s">
        <v>247</v>
      </c>
      <c r="B36" s="8" t="n">
        <f aca="false">Results!$B$28+Results!$B$29+Results!$B$30+Results!$B$34+Results!$B$35</f>
        <v>290060.95994664</v>
      </c>
      <c r="C36" s="3" t="s">
        <v>200</v>
      </c>
    </row>
    <row r="37" customFormat="false" ht="12.8" hidden="false" customHeight="false" outlineLevel="0" collapsed="false">
      <c r="A37" s="0" t="s">
        <v>248</v>
      </c>
      <c r="B37" s="8" t="n">
        <f aca="false">Inputs!$B$82*12*(1-Inputs!$B$72)*(1-Inputs!$B$73)/Inputs!$B$74</f>
        <v>4228.36363636364</v>
      </c>
      <c r="C37" s="3" t="s">
        <v>249</v>
      </c>
    </row>
    <row r="38" customFormat="false" ht="12.8" hidden="false" customHeight="false" outlineLevel="0" collapsed="false">
      <c r="A38" s="0" t="s">
        <v>250</v>
      </c>
      <c r="B38" s="8" t="n">
        <f aca="false">(Inputs!$B$82*Results!$B$36*(1+Inputs!$B$63)+0)/Results!$B$37</f>
        <v>2304.9219727442</v>
      </c>
      <c r="C38" s="3" t="s">
        <v>251</v>
      </c>
    </row>
    <row r="39" customFormat="false" ht="12.8" hidden="false" customHeight="false" outlineLevel="0" collapsed="false">
      <c r="A39" s="0" t="s">
        <v>252</v>
      </c>
      <c r="B39" s="8" t="n">
        <f aca="false">(Inputs!$B$82*Results!$B$36*(1+Inputs!$B$63)+250000)/Results!$B$37</f>
        <v>2364.04649974798</v>
      </c>
      <c r="C39" s="3" t="s">
        <v>200</v>
      </c>
    </row>
    <row r="40" customFormat="false" ht="12.8" hidden="false" customHeight="false" outlineLevel="0" collapsed="false">
      <c r="A40" s="0" t="s">
        <v>253</v>
      </c>
      <c r="B40" s="8" t="n">
        <f aca="false">(Inputs!$B$82*Results!$B$36*(1+Inputs!$B$63)+500000)/Results!$B$37</f>
        <v>2423.17102675177</v>
      </c>
      <c r="C40" s="3" t="s">
        <v>200</v>
      </c>
    </row>
    <row r="41" customFormat="false" ht="12.8" hidden="false" customHeight="false" outlineLevel="0" collapsed="false">
      <c r="A41" s="1" t="s">
        <v>254</v>
      </c>
    </row>
    <row r="42" customFormat="false" ht="12.8" hidden="false" customHeight="false" outlineLevel="0" collapsed="false">
      <c r="A42" s="0" t="s">
        <v>255</v>
      </c>
      <c r="B42" s="7" t="n">
        <f aca="false">(1-(1+Inputs!$B$75)^(-Inputs!$B$102))/Inputs!$B$75</f>
        <v>7.94268629656093</v>
      </c>
      <c r="C42" s="3" t="s">
        <v>256</v>
      </c>
    </row>
    <row r="43" customFormat="false" ht="12.8" hidden="false" customHeight="false" outlineLevel="0" collapsed="false">
      <c r="A43" s="0" t="s">
        <v>257</v>
      </c>
      <c r="B43" s="8" t="n">
        <f aca="false">Inputs!$B$82*Inputs!$B$87*Results!$B$27</f>
        <v>5498555.4</v>
      </c>
      <c r="C43" s="3" t="s">
        <v>200</v>
      </c>
    </row>
    <row r="44" customFormat="false" ht="12.8" hidden="false" customHeight="false" outlineLevel="0" collapsed="false">
      <c r="A44" s="0" t="s">
        <v>258</v>
      </c>
      <c r="B44" s="8" t="n">
        <f aca="false">Results!$B$43*Inputs!$B$53*Results!$B$42</f>
        <v>384325.045512858</v>
      </c>
      <c r="C44" s="3" t="s">
        <v>200</v>
      </c>
    </row>
    <row r="45" customFormat="false" ht="12.8" hidden="false" customHeight="false" outlineLevel="0" collapsed="false">
      <c r="A45" s="0" t="s">
        <v>259</v>
      </c>
      <c r="B45" s="8" t="n">
        <f aca="false">Inputs!$B$101*Results!$B$34</f>
        <v>198737.316</v>
      </c>
      <c r="C45" s="3" t="s">
        <v>200</v>
      </c>
    </row>
    <row r="46" customFormat="false" ht="12.8" hidden="false" customHeight="false" outlineLevel="0" collapsed="false">
      <c r="A46" s="0" t="s">
        <v>260</v>
      </c>
      <c r="B46" s="8" t="n">
        <f aca="false">Inputs!$B$78-Results!$B$22</f>
        <v>-228.625</v>
      </c>
      <c r="C46" s="3" t="s">
        <v>261</v>
      </c>
    </row>
    <row r="47" customFormat="false" ht="12.8" hidden="false" customHeight="false" outlineLevel="0" collapsed="false">
      <c r="A47" s="0" t="s">
        <v>262</v>
      </c>
      <c r="B47" s="8" t="n">
        <f aca="false">Inputs!$B$78-Results!$B$23</f>
        <v>176.6</v>
      </c>
      <c r="C47" s="3" t="s">
        <v>263</v>
      </c>
    </row>
    <row r="48" customFormat="false" ht="12.8" hidden="false" customHeight="false" outlineLevel="0" collapsed="false">
      <c r="A48" s="0" t="s">
        <v>264</v>
      </c>
      <c r="B48" s="8" t="n">
        <f aca="false">Inputs!$B$78-Results!$B$24</f>
        <v>546.5</v>
      </c>
      <c r="C48" s="3" t="s">
        <v>265</v>
      </c>
    </row>
    <row r="49" customFormat="false" ht="12.8" hidden="false" customHeight="false" outlineLevel="0" collapsed="false">
      <c r="A49" s="0" t="s">
        <v>266</v>
      </c>
      <c r="B49" s="7" t="n">
        <f aca="false">MAX(0,Results!$B$46)*Inputs!$B$101*12*Results!$B$42/Results!$B$44</f>
        <v>0</v>
      </c>
      <c r="C49" s="3" t="s">
        <v>200</v>
      </c>
    </row>
    <row r="50" customFormat="false" ht="12.8" hidden="false" customHeight="false" outlineLevel="0" collapsed="false">
      <c r="A50" s="0" t="s">
        <v>267</v>
      </c>
      <c r="B50" s="7" t="n">
        <f aca="false">MAX(0,Results!$B$47)*Inputs!$B$101*12*Results!$B$42/Results!$B$44</f>
        <v>0.262779764101147</v>
      </c>
      <c r="C50" s="3" t="s">
        <v>268</v>
      </c>
    </row>
    <row r="51" customFormat="false" ht="12.8" hidden="false" customHeight="false" outlineLevel="0" collapsed="false">
      <c r="A51" s="0" t="s">
        <v>269</v>
      </c>
      <c r="B51" s="7" t="n">
        <f aca="false">MAX(0,Results!$B$48)*Inputs!$B$101*12*Results!$B$42/Results!$B$44</f>
        <v>0.813188794344718</v>
      </c>
      <c r="C51" s="3" t="s">
        <v>270</v>
      </c>
    </row>
    <row r="52" customFormat="false" ht="12.8" hidden="false" customHeight="false" outlineLevel="0" collapsed="false">
      <c r="A52" s="0" t="s">
        <v>271</v>
      </c>
      <c r="B52" s="7" t="n">
        <f aca="false">MAX(0,Results!$B$47)*Inputs!$B$101*12*Results!$B$42/Results!$B$45</f>
        <v>0.508172530608351</v>
      </c>
      <c r="C52" s="3" t="s">
        <v>272</v>
      </c>
    </row>
    <row r="53" customFormat="false" ht="12.8" hidden="false" customHeight="false" outlineLevel="0" collapsed="false">
      <c r="A53" s="0" t="s">
        <v>273</v>
      </c>
      <c r="B53" s="7" t="n">
        <f aca="false">MAX(0,Results!$B$48)*Inputs!$B$101*12*Results!$B$42/Results!$B$45</f>
        <v>1.57257241210342</v>
      </c>
      <c r="C53" s="3" t="s">
        <v>274</v>
      </c>
    </row>
    <row r="54" customFormat="false" ht="12.8" hidden="false" customHeight="false" outlineLevel="0" collapsed="false">
      <c r="A54" s="1" t="s">
        <v>275</v>
      </c>
    </row>
    <row r="55" customFormat="false" ht="12.8" hidden="false" customHeight="false" outlineLevel="0" collapsed="false">
      <c r="A55" s="0" t="s">
        <v>276</v>
      </c>
      <c r="B55" s="8" t="n">
        <f aca="false">Inputs!$B$79/Inputs!$B$80/Inputs!$B$82</f>
        <v>48708.1339712919</v>
      </c>
      <c r="C55" s="3" t="s">
        <v>277</v>
      </c>
    </row>
    <row r="56" customFormat="false" ht="12.8" hidden="false" customHeight="false" outlineLevel="0" collapsed="false">
      <c r="A56" s="0" t="s">
        <v>278</v>
      </c>
      <c r="B56" s="8" t="n">
        <f aca="false">Results!$B$31+Results!$B$32</f>
        <v>14351.046</v>
      </c>
      <c r="C56" s="3" t="s">
        <v>279</v>
      </c>
    </row>
    <row r="57" customFormat="false" ht="12.8" hidden="false" customHeight="false" outlineLevel="0" collapsed="false">
      <c r="A57" s="0" t="s">
        <v>280</v>
      </c>
      <c r="B57" s="8" t="n">
        <f aca="false">0.8*Results!$B$56</f>
        <v>11480.8368</v>
      </c>
      <c r="C57" s="3" t="s">
        <v>281</v>
      </c>
    </row>
    <row r="58" customFormat="false" ht="12.8" hidden="false" customHeight="false" outlineLevel="0" collapsed="false">
      <c r="A58" s="0" t="s">
        <v>282</v>
      </c>
      <c r="B58" s="8" t="n">
        <f aca="false">Results!$B$34-Results!$B$56</f>
        <v>18771.84</v>
      </c>
      <c r="C58" s="3" t="s">
        <v>283</v>
      </c>
    </row>
    <row r="59" customFormat="false" ht="12.8" hidden="false" customHeight="false" outlineLevel="0" collapsed="false">
      <c r="A59" s="0" t="s">
        <v>284</v>
      </c>
      <c r="B59" s="8" t="n">
        <f aca="false">Results!$B$44/Inputs!$B$101</f>
        <v>64054.174252143</v>
      </c>
      <c r="C59" s="3" t="s">
        <v>285</v>
      </c>
    </row>
    <row r="60" customFormat="false" ht="12.8" hidden="false" customHeight="false" outlineLevel="0" collapsed="false">
      <c r="A60" s="0" t="s">
        <v>286</v>
      </c>
      <c r="B60" s="8" t="n">
        <f aca="false">Results!$B$55+Results!$B$34+Results!$B$59</f>
        <v>145885.194223435</v>
      </c>
      <c r="C60" s="3" t="s">
        <v>287</v>
      </c>
    </row>
    <row r="61" customFormat="false" ht="12.8" hidden="false" customHeight="false" outlineLevel="0" collapsed="false">
      <c r="A61" s="0" t="s">
        <v>288</v>
      </c>
      <c r="B61" s="8" t="n">
        <f aca="false">Results!$B$34+Results!$B$59</f>
        <v>97177.060252143</v>
      </c>
      <c r="C61" s="3" t="s">
        <v>289</v>
      </c>
    </row>
    <row r="62" customFormat="false" ht="12.8" hidden="false" customHeight="false" outlineLevel="0" collapsed="false">
      <c r="A62" s="0" t="s">
        <v>290</v>
      </c>
      <c r="B62" s="8" t="n">
        <f aca="false">(Inputs!$B$78-Results!$B$25)*12*Results!$B$42</f>
        <v>122643.019105197</v>
      </c>
      <c r="C62" s="3" t="s">
        <v>291</v>
      </c>
    </row>
    <row r="63" customFormat="false" ht="12.8" hidden="false" customHeight="false" outlineLevel="0" collapsed="false">
      <c r="A63" s="0" t="s">
        <v>292</v>
      </c>
      <c r="B63" s="8" t="n">
        <f aca="false">Results!$B$48*12*Results!$B$42</f>
        <v>52088.1367328466</v>
      </c>
      <c r="C63" s="3" t="s">
        <v>200</v>
      </c>
    </row>
    <row r="64" customFormat="false" ht="12.8" hidden="false" customHeight="false" outlineLevel="0" collapsed="false">
      <c r="A64" s="0" t="s">
        <v>293</v>
      </c>
      <c r="B64" s="8" t="n">
        <f aca="false">Inputs!$B$82*(Results!$B$62-Results!$B$61)</f>
        <v>763978.76559163</v>
      </c>
      <c r="C64" s="3" t="s">
        <v>294</v>
      </c>
    </row>
    <row r="65" customFormat="false" ht="12.8" hidden="false" customHeight="false" outlineLevel="0" collapsed="false">
      <c r="A65" s="0" t="s">
        <v>295</v>
      </c>
      <c r="B65" s="7" t="n">
        <f aca="false">(Inputs!$B$79/Inputs!$B$80)/Results!$B$64</f>
        <v>1.91267622210306</v>
      </c>
      <c r="C65" s="3" t="s">
        <v>296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4.11"/>
    <col collapsed="false" customWidth="true" hidden="false" outlineLevel="0" max="2" min="2" style="0" width="16.86"/>
    <col collapsed="false" customWidth="true" hidden="false" outlineLevel="0" max="3" min="3" style="0" width="77.84"/>
  </cols>
  <sheetData>
    <row r="1" customFormat="false" ht="12.8" hidden="false" customHeight="false" outlineLevel="0" collapsed="false">
      <c r="A1" s="1" t="s">
        <v>297</v>
      </c>
    </row>
    <row r="2" customFormat="false" ht="12.8" hidden="false" customHeight="false" outlineLevel="0" collapsed="false">
      <c r="A2" s="0" t="s">
        <v>298</v>
      </c>
      <c r="B2" s="4" t="n">
        <v>779</v>
      </c>
      <c r="C2" s="3" t="s">
        <v>299</v>
      </c>
    </row>
    <row r="3" customFormat="false" ht="12.8" hidden="false" customHeight="false" outlineLevel="0" collapsed="false">
      <c r="A3" s="0" t="s">
        <v>300</v>
      </c>
      <c r="B3" s="4" t="n">
        <v>160</v>
      </c>
      <c r="C3" s="3" t="s">
        <v>301</v>
      </c>
    </row>
    <row r="4" customFormat="false" ht="12.8" hidden="false" customHeight="false" outlineLevel="0" collapsed="false">
      <c r="A4" s="0" t="s">
        <v>302</v>
      </c>
      <c r="B4" s="4" t="n">
        <v>82</v>
      </c>
      <c r="C4" s="3" t="s">
        <v>303</v>
      </c>
    </row>
    <row r="5" customFormat="false" ht="12.8" hidden="false" customHeight="false" outlineLevel="0" collapsed="false">
      <c r="A5" s="0" t="s">
        <v>304</v>
      </c>
      <c r="B5" s="4" t="n">
        <v>0.4</v>
      </c>
      <c r="C5" s="3" t="s">
        <v>305</v>
      </c>
    </row>
    <row r="6" customFormat="false" ht="12.8" hidden="false" customHeight="false" outlineLevel="0" collapsed="false">
      <c r="A6" s="0" t="s">
        <v>306</v>
      </c>
      <c r="B6" s="4" t="n">
        <v>0.75</v>
      </c>
      <c r="C6" s="3" t="s">
        <v>307</v>
      </c>
    </row>
    <row r="7" customFormat="false" ht="12.8" hidden="false" customHeight="false" outlineLevel="0" collapsed="false">
      <c r="A7" s="0" t="s">
        <v>308</v>
      </c>
      <c r="B7" s="4" t="n">
        <v>1.3</v>
      </c>
      <c r="C7" s="3" t="s">
        <v>309</v>
      </c>
    </row>
    <row r="8" customFormat="false" ht="12.8" hidden="false" customHeight="false" outlineLevel="0" collapsed="false">
      <c r="A8" s="0" t="s">
        <v>310</v>
      </c>
      <c r="B8" s="4" t="n">
        <v>2</v>
      </c>
      <c r="C8" s="3" t="s">
        <v>311</v>
      </c>
    </row>
    <row r="9" customFormat="false" ht="12.8" hidden="false" customHeight="false" outlineLevel="0" collapsed="false">
      <c r="A9" s="0" t="s">
        <v>312</v>
      </c>
      <c r="B9" s="4" t="n">
        <v>0.5</v>
      </c>
      <c r="C9" s="3" t="s">
        <v>313</v>
      </c>
    </row>
    <row r="10" customFormat="false" ht="12.8" hidden="false" customHeight="false" outlineLevel="0" collapsed="false">
      <c r="A10" s="0" t="s">
        <v>314</v>
      </c>
      <c r="B10" s="4" t="n">
        <v>1.5</v>
      </c>
      <c r="C10" s="3" t="s">
        <v>315</v>
      </c>
    </row>
    <row r="11" customFormat="false" ht="12.8" hidden="false" customHeight="false" outlineLevel="0" collapsed="false">
      <c r="A11" s="0" t="s">
        <v>316</v>
      </c>
      <c r="B11" s="4" t="n">
        <v>3</v>
      </c>
      <c r="C11" s="3" t="s">
        <v>317</v>
      </c>
    </row>
    <row r="12" customFormat="false" ht="12.8" hidden="false" customHeight="false" outlineLevel="0" collapsed="false">
      <c r="A12" s="0" t="s">
        <v>318</v>
      </c>
      <c r="B12" s="4" t="n">
        <v>1100</v>
      </c>
      <c r="C12" s="3" t="s">
        <v>319</v>
      </c>
    </row>
    <row r="13" customFormat="false" ht="12.8" hidden="false" customHeight="false" outlineLevel="0" collapsed="false">
      <c r="A13" s="0" t="s">
        <v>320</v>
      </c>
      <c r="B13" s="4" t="n">
        <v>560</v>
      </c>
      <c r="C13" s="3" t="s">
        <v>321</v>
      </c>
    </row>
    <row r="14" customFormat="false" ht="12.8" hidden="false" customHeight="false" outlineLevel="0" collapsed="false">
      <c r="A14" s="0" t="s">
        <v>322</v>
      </c>
      <c r="B14" s="4" t="n">
        <v>0.85</v>
      </c>
      <c r="C14" s="3" t="s">
        <v>323</v>
      </c>
    </row>
    <row r="15" customFormat="false" ht="12.8" hidden="false" customHeight="false" outlineLevel="0" collapsed="false">
      <c r="A15" s="0" t="s">
        <v>324</v>
      </c>
      <c r="B15" s="4" t="n">
        <v>3</v>
      </c>
      <c r="C15" s="3" t="s">
        <v>325</v>
      </c>
    </row>
    <row r="16" customFormat="false" ht="12.8" hidden="false" customHeight="false" outlineLevel="0" collapsed="false">
      <c r="A16" s="0" t="s">
        <v>326</v>
      </c>
      <c r="B16" s="4" t="n">
        <v>1000</v>
      </c>
      <c r="C16" s="3" t="s">
        <v>327</v>
      </c>
    </row>
    <row r="17" customFormat="false" ht="12.8" hidden="false" customHeight="false" outlineLevel="0" collapsed="false">
      <c r="A17" s="0" t="s">
        <v>328</v>
      </c>
      <c r="B17" s="4" t="n">
        <v>1.5</v>
      </c>
      <c r="C17" s="3" t="s">
        <v>329</v>
      </c>
    </row>
    <row r="18" customFormat="false" ht="12.8" hidden="false" customHeight="false" outlineLevel="0" collapsed="false">
      <c r="A18" s="1" t="s">
        <v>330</v>
      </c>
    </row>
    <row r="19" customFormat="false" ht="12.8" hidden="false" customHeight="false" outlineLevel="0" collapsed="false">
      <c r="A19" s="0" t="s">
        <v>331</v>
      </c>
      <c r="B19" s="5" t="n">
        <f aca="false">Roads!$B$2</f>
        <v>779</v>
      </c>
      <c r="C19" s="3" t="s">
        <v>200</v>
      </c>
    </row>
    <row r="20" customFormat="false" ht="12.8" hidden="false" customHeight="false" outlineLevel="0" collapsed="false">
      <c r="A20" s="0" t="s">
        <v>332</v>
      </c>
      <c r="B20" s="5" t="n">
        <f aca="false">Roads!$B$3+Roads!$B$4</f>
        <v>242</v>
      </c>
      <c r="C20" s="3" t="s">
        <v>200</v>
      </c>
    </row>
    <row r="21" customFormat="false" ht="12.8" hidden="false" customHeight="false" outlineLevel="0" collapsed="false">
      <c r="A21" s="0" t="s">
        <v>333</v>
      </c>
      <c r="B21" s="5" t="n">
        <f aca="false">Roads!$B$19*Roads!$B$5+Roads!$B$20*Roads!$B$6</f>
        <v>493.1</v>
      </c>
      <c r="C21" s="3" t="s">
        <v>334</v>
      </c>
    </row>
    <row r="22" customFormat="false" ht="12.8" hidden="false" customHeight="false" outlineLevel="0" collapsed="false">
      <c r="A22" s="0" t="s">
        <v>335</v>
      </c>
      <c r="B22" s="5" t="n">
        <f aca="false">Roads!$B$21*Roads!$B$14/Roads!$B$11</f>
        <v>139.711666666667</v>
      </c>
      <c r="C22" s="3" t="s">
        <v>200</v>
      </c>
    </row>
    <row r="23" customFormat="false" ht="12.8" hidden="false" customHeight="false" outlineLevel="0" collapsed="false">
      <c r="A23" s="0" t="s">
        <v>336</v>
      </c>
      <c r="B23" s="6" t="n">
        <f aca="false">Roads!$B$22/(Roads!$B$12-Roads!$B$13)</f>
        <v>0.258725308641975</v>
      </c>
      <c r="C23" s="3" t="s">
        <v>337</v>
      </c>
    </row>
    <row r="24" customFormat="false" ht="12.8" hidden="false" customHeight="false" outlineLevel="0" collapsed="false">
      <c r="A24" s="0" t="s">
        <v>338</v>
      </c>
      <c r="B24" s="5" t="n">
        <f aca="false">Roads!$B$19*Roads!$B$7+Roads!$B$20*Roads!$B$8</f>
        <v>1496.7</v>
      </c>
      <c r="C24" s="3" t="s">
        <v>339</v>
      </c>
    </row>
    <row r="25" customFormat="false" ht="12.8" hidden="false" customHeight="false" outlineLevel="0" collapsed="false">
      <c r="A25" s="0" t="s">
        <v>340</v>
      </c>
      <c r="B25" s="5" t="n">
        <f aca="false">Roads!$B$19*(Roads!$B$7-Roads!$B$9)</f>
        <v>623.2</v>
      </c>
      <c r="C25" s="3" t="s">
        <v>341</v>
      </c>
    </row>
    <row r="26" customFormat="false" ht="12.8" hidden="false" customHeight="false" outlineLevel="0" collapsed="false">
      <c r="A26" s="0" t="s">
        <v>342</v>
      </c>
      <c r="B26" s="6" t="n">
        <f aca="false">30*Roads!$B$10*325/43560</f>
        <v>0.335743801652893</v>
      </c>
      <c r="C26" s="3" t="s">
        <v>343</v>
      </c>
    </row>
    <row r="27" customFormat="false" ht="12.8" hidden="false" customHeight="false" outlineLevel="0" collapsed="false">
      <c r="A27" s="0" t="s">
        <v>344</v>
      </c>
      <c r="B27" s="5" t="n">
        <f aca="false">MAX(0,(Roads!$B$19+Roads!$B$20)*Roads!$B$17-Roads!$B$16)</f>
        <v>531.5</v>
      </c>
      <c r="C27" s="3" t="s">
        <v>200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4.11"/>
    <col collapsed="false" customWidth="true" hidden="false" outlineLevel="0" max="2" min="2" style="0" width="16.86"/>
    <col collapsed="false" customWidth="true" hidden="false" outlineLevel="0" max="3" min="3" style="0" width="77.84"/>
  </cols>
  <sheetData>
    <row r="1" customFormat="false" ht="12.8" hidden="false" customHeight="false" outlineLevel="0" collapsed="false">
      <c r="A1" s="1" t="s">
        <v>345</v>
      </c>
    </row>
    <row r="2" customFormat="false" ht="12.8" hidden="false" customHeight="false" outlineLevel="0" collapsed="false">
      <c r="A2" s="0" t="s">
        <v>346</v>
      </c>
      <c r="B2" s="0" t="s">
        <v>347</v>
      </c>
      <c r="C2" s="3" t="s">
        <v>348</v>
      </c>
    </row>
    <row r="3" customFormat="false" ht="12.8" hidden="false" customHeight="false" outlineLevel="0" collapsed="false">
      <c r="A3" s="0" t="s">
        <v>349</v>
      </c>
      <c r="B3" s="0" t="s">
        <v>350</v>
      </c>
      <c r="C3" s="3" t="s">
        <v>351</v>
      </c>
    </row>
    <row r="4" customFormat="false" ht="12.8" hidden="false" customHeight="false" outlineLevel="0" collapsed="false">
      <c r="A4" s="0" t="s">
        <v>352</v>
      </c>
      <c r="B4" s="0" t="s">
        <v>353</v>
      </c>
      <c r="C4" s="3" t="s">
        <v>348</v>
      </c>
    </row>
    <row r="5" customFormat="false" ht="12.8" hidden="false" customHeight="false" outlineLevel="0" collapsed="false">
      <c r="A5" s="0" t="s">
        <v>354</v>
      </c>
      <c r="B5" s="0" t="s">
        <v>355</v>
      </c>
      <c r="C5" s="3" t="s">
        <v>356</v>
      </c>
    </row>
    <row r="6" customFormat="false" ht="12.8" hidden="false" customHeight="false" outlineLevel="0" collapsed="false">
      <c r="A6" s="0" t="s">
        <v>357</v>
      </c>
      <c r="B6" s="0" t="s">
        <v>358</v>
      </c>
      <c r="C6" s="3" t="s">
        <v>359</v>
      </c>
    </row>
    <row r="7" customFormat="false" ht="12.8" hidden="false" customHeight="false" outlineLevel="0" collapsed="false">
      <c r="A7" s="0" t="s">
        <v>360</v>
      </c>
      <c r="B7" s="0" t="s">
        <v>361</v>
      </c>
      <c r="C7" s="3" t="s">
        <v>362</v>
      </c>
    </row>
    <row r="8" customFormat="false" ht="12.8" hidden="false" customHeight="false" outlineLevel="0" collapsed="false">
      <c r="A8" s="0" t="s">
        <v>363</v>
      </c>
      <c r="B8" s="0" t="s">
        <v>364</v>
      </c>
      <c r="C8" s="3" t="s">
        <v>365</v>
      </c>
    </row>
    <row r="9" customFormat="false" ht="12.8" hidden="false" customHeight="false" outlineLevel="0" collapsed="false">
      <c r="A9" s="0" t="s">
        <v>366</v>
      </c>
      <c r="B9" s="0" t="s">
        <v>367</v>
      </c>
      <c r="C9" s="3" t="s">
        <v>368</v>
      </c>
    </row>
    <row r="10" customFormat="false" ht="12.8" hidden="false" customHeight="false" outlineLevel="0" collapsed="false">
      <c r="A10" s="0" t="s">
        <v>369</v>
      </c>
      <c r="B10" s="0" t="s">
        <v>370</v>
      </c>
      <c r="C10" s="3" t="s">
        <v>371</v>
      </c>
    </row>
    <row r="11" customFormat="false" ht="12.8" hidden="false" customHeight="false" outlineLevel="0" collapsed="false">
      <c r="A11" s="0" t="s">
        <v>372</v>
      </c>
      <c r="B11" s="0" t="s">
        <v>373</v>
      </c>
      <c r="C11" s="3" t="s">
        <v>374</v>
      </c>
    </row>
    <row r="12" customFormat="false" ht="12.8" hidden="false" customHeight="false" outlineLevel="0" collapsed="false">
      <c r="A12" s="0" t="s">
        <v>375</v>
      </c>
      <c r="B12" s="0" t="s">
        <v>376</v>
      </c>
      <c r="C12" s="3" t="s">
        <v>377</v>
      </c>
    </row>
    <row r="13" customFormat="false" ht="12.8" hidden="false" customHeight="false" outlineLevel="0" collapsed="false">
      <c r="A13" s="0" t="s">
        <v>378</v>
      </c>
      <c r="B13" s="0" t="s">
        <v>379</v>
      </c>
      <c r="C13" s="3" t="s">
        <v>380</v>
      </c>
    </row>
    <row r="14" customFormat="false" ht="12.8" hidden="false" customHeight="false" outlineLevel="0" collapsed="false">
      <c r="A14" s="0" t="s">
        <v>381</v>
      </c>
      <c r="B14" s="0" t="s">
        <v>382</v>
      </c>
      <c r="C14" s="3" t="s">
        <v>383</v>
      </c>
    </row>
    <row r="15" customFormat="false" ht="12.8" hidden="false" customHeight="false" outlineLevel="0" collapsed="false">
      <c r="A15" s="0" t="s">
        <v>384</v>
      </c>
      <c r="B15" s="0" t="s">
        <v>385</v>
      </c>
      <c r="C15" s="3" t="s">
        <v>386</v>
      </c>
    </row>
    <row r="16" customFormat="false" ht="12.8" hidden="false" customHeight="false" outlineLevel="0" collapsed="false">
      <c r="A16" s="0" t="s">
        <v>387</v>
      </c>
      <c r="B16" s="0" t="s">
        <v>388</v>
      </c>
      <c r="C16" s="3" t="s">
        <v>389</v>
      </c>
    </row>
    <row r="17" customFormat="false" ht="12.8" hidden="false" customHeight="false" outlineLevel="0" collapsed="false">
      <c r="A17" s="0" t="s">
        <v>390</v>
      </c>
      <c r="B17" s="0" t="s">
        <v>391</v>
      </c>
      <c r="C17" s="3" t="s">
        <v>392</v>
      </c>
    </row>
    <row r="18" customFormat="false" ht="12.8" hidden="false" customHeight="false" outlineLevel="0" collapsed="false">
      <c r="A18" s="0" t="s">
        <v>393</v>
      </c>
      <c r="B18" s="0" t="s">
        <v>394</v>
      </c>
      <c r="C18" s="3" t="s">
        <v>395</v>
      </c>
    </row>
    <row r="19" customFormat="false" ht="12.8" hidden="false" customHeight="false" outlineLevel="0" collapsed="false">
      <c r="A19" s="0" t="s">
        <v>396</v>
      </c>
      <c r="B19" s="0" t="s">
        <v>397</v>
      </c>
      <c r="C19" s="3" t="s">
        <v>398</v>
      </c>
    </row>
    <row r="20" customFormat="false" ht="12.8" hidden="false" customHeight="false" outlineLevel="0" collapsed="false">
      <c r="A20" s="0" t="s">
        <v>399</v>
      </c>
      <c r="B20" s="0" t="s">
        <v>400</v>
      </c>
      <c r="C20" s="3" t="s">
        <v>401</v>
      </c>
    </row>
    <row r="21" customFormat="false" ht="12.8" hidden="false" customHeight="false" outlineLevel="0" collapsed="false">
      <c r="A21" s="0" t="s">
        <v>402</v>
      </c>
      <c r="B21" s="0" t="s">
        <v>403</v>
      </c>
      <c r="C21" s="3" t="s">
        <v>404</v>
      </c>
    </row>
    <row r="22" customFormat="false" ht="12.8" hidden="false" customHeight="false" outlineLevel="0" collapsed="false">
      <c r="A22" s="0" t="s">
        <v>405</v>
      </c>
      <c r="B22" s="0" t="s">
        <v>406</v>
      </c>
      <c r="C22" s="3" t="s">
        <v>407</v>
      </c>
    </row>
    <row r="23" customFormat="false" ht="12.8" hidden="false" customHeight="false" outlineLevel="0" collapsed="false">
      <c r="A23" s="0" t="s">
        <v>408</v>
      </c>
      <c r="B23" s="0" t="s">
        <v>409</v>
      </c>
      <c r="C23" s="3" t="s">
        <v>410</v>
      </c>
    </row>
    <row r="24" customFormat="false" ht="12.8" hidden="false" customHeight="false" outlineLevel="0" collapsed="false">
      <c r="A24" s="0" t="s">
        <v>411</v>
      </c>
      <c r="B24" s="0" t="s">
        <v>412</v>
      </c>
      <c r="C24" s="3" t="s">
        <v>413</v>
      </c>
    </row>
    <row r="25" customFormat="false" ht="12.8" hidden="false" customHeight="false" outlineLevel="0" collapsed="false">
      <c r="A25" s="0" t="s">
        <v>414</v>
      </c>
      <c r="B25" s="0" t="s">
        <v>415</v>
      </c>
      <c r="C25" s="3" t="s">
        <v>416</v>
      </c>
    </row>
    <row r="26" customFormat="false" ht="12.8" hidden="false" customHeight="false" outlineLevel="0" collapsed="false">
      <c r="A26" s="0" t="s">
        <v>417</v>
      </c>
      <c r="B26" s="0" t="s">
        <v>418</v>
      </c>
      <c r="C26" s="3" t="s">
        <v>419</v>
      </c>
    </row>
    <row r="27" customFormat="false" ht="12.8" hidden="false" customHeight="false" outlineLevel="0" collapsed="false">
      <c r="A27" s="0" t="s">
        <v>420</v>
      </c>
      <c r="B27" s="0" t="s">
        <v>421</v>
      </c>
      <c r="C27" s="3" t="s">
        <v>422</v>
      </c>
    </row>
    <row r="28" customFormat="false" ht="12.8" hidden="false" customHeight="false" outlineLevel="0" collapsed="false">
      <c r="A28" s="0" t="s">
        <v>423</v>
      </c>
      <c r="B28" s="0" t="s">
        <v>424</v>
      </c>
      <c r="C28" s="3" t="s">
        <v>425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